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ctrlProps/ctrlProp1.xml" ContentType="application/vnd.ms-excel.controlproperties+xml"/>
  <Override PartName="/xl/customProperty2.bin" ContentType="application/vnd.openxmlformats-officedocument.spreadsheetml.customProperty"/>
  <Override PartName="/xl/drawings/drawing2.xml" ContentType="application/vnd.openxmlformats-officedocument.drawing+xml"/>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customProperty3.bin" ContentType="application/vnd.openxmlformats-officedocument.spreadsheetml.customProperty"/>
  <Override PartName="/xl/drawings/drawing3.xml" ContentType="application/vnd.openxmlformats-officedocument.drawing+xml"/>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comments2.xml" ContentType="application/vnd.openxmlformats-officedocument.spreadsheetml.comments+xml"/>
  <Override PartName="/xl/customProperty4.bin" ContentType="application/vnd.openxmlformats-officedocument.spreadsheetml.customProperty"/>
  <Override PartName="/xl/drawings/drawing4.xml" ContentType="application/vnd.openxmlformats-officedocument.drawing+xml"/>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customProperty5.bin" ContentType="application/vnd.openxmlformats-officedocument.spreadsheetml.customProperty"/>
  <Override PartName="/xl/comments3.xml" ContentType="application/vnd.openxmlformats-officedocument.spreadsheetml.comments+xml"/>
  <Override PartName="/xl/customProperty6.bin" ContentType="application/vnd.openxmlformats-officedocument.spreadsheetml.customProperty"/>
  <Override PartName="/xl/customProperty7.bin" ContentType="application/vnd.openxmlformats-officedocument.spreadsheetml.customProperty"/>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DieseArbeitsmappe"/>
  <mc:AlternateContent xmlns:mc="http://schemas.openxmlformats.org/markup-compatibility/2006">
    <mc:Choice Requires="x15">
      <x15ac:absPath xmlns:x15ac="http://schemas.microsoft.com/office/spreadsheetml/2010/11/ac" url="C:\Users\kobel\Downloads\"/>
    </mc:Choice>
  </mc:AlternateContent>
  <workbookProtection workbookAlgorithmName="SHA-512" workbookHashValue="mcvjDeh76djnlHWuyHkZ7+KOwdeaZL6NNE8+hAo5NjKgLVxwC6yfBm3+zrL9ouBDj0rUe7+vWZOhRJOTggLJEg==" workbookSaltValue="7KultYcFKcnkd1witRufNg==" workbookSpinCount="100000" lockStructure="1"/>
  <bookViews>
    <workbookView xWindow="0" yWindow="0" windowWidth="28800" windowHeight="13800" activeTab="1"/>
  </bookViews>
  <sheets>
    <sheet name="Startseite" sheetId="2" r:id="rId1"/>
    <sheet name="Berechnung" sheetId="1" r:id="rId2"/>
    <sheet name="Grunddaten" sheetId="8" state="veryHidden" r:id="rId3"/>
    <sheet name="Programmversionen" sheetId="7" state="veryHidden" r:id="rId4"/>
    <sheet name="Daten" sheetId="5" state="veryHidden" r:id="rId5"/>
    <sheet name="Hilfe" sheetId="6" state="veryHidden" r:id="rId6"/>
    <sheet name="Backups" sheetId="9" state="veryHidden" r:id="rId7"/>
  </sheets>
  <definedNames>
    <definedName name="_xlnm._FilterDatabase" localSheetId="6" hidden="1">Backups!$B$10:$P$10</definedName>
    <definedName name="_xlnm._FilterDatabase" localSheetId="5" hidden="1">Hilfe!$A$2:$F$2</definedName>
    <definedName name="_xlnm.Print_Area" localSheetId="1">Berechnung!$C$6:$Y$156</definedName>
    <definedName name="_xlnm.Print_Area" localSheetId="2">Grunddaten!$B$5:$I$97</definedName>
    <definedName name="_xlnm.Print_Area" localSheetId="3">Programmversionen!$B$5:$K$110</definedName>
    <definedName name="_xlnm.Print_Area" localSheetId="0">Startseite!$C$6:$V$61</definedName>
    <definedName name="_xlnm.Print_Titles" localSheetId="2">Grunddaten!$5:$8</definedName>
    <definedName name="_xlnm.Print_Titles" localSheetId="3">Programmversionen!$5:$9</definedName>
    <definedName name="solver_adj" localSheetId="4" hidden="1">Daten!$D$56</definedName>
    <definedName name="solver_adj" localSheetId="5" hidden="1">Hilfe!#REF!</definedName>
    <definedName name="solver_adj" localSheetId="0" hidden="1">Startseite!#REF!</definedName>
    <definedName name="solver_cvg" localSheetId="1" hidden="1">0.0001</definedName>
    <definedName name="solver_cvg" localSheetId="4" hidden="1">0.01</definedName>
    <definedName name="solver_cvg" localSheetId="5" hidden="1">0.0001</definedName>
    <definedName name="solver_drv" localSheetId="1" hidden="1">1</definedName>
    <definedName name="solver_drv" localSheetId="4" hidden="1">1</definedName>
    <definedName name="solver_drv" localSheetId="5" hidden="1">1</definedName>
    <definedName name="solver_eng" localSheetId="1" hidden="1">3</definedName>
    <definedName name="solver_eng" localSheetId="4" hidden="1">3</definedName>
    <definedName name="solver_eng" localSheetId="5" hidden="1">3</definedName>
    <definedName name="solver_eng" localSheetId="0" hidden="1">2</definedName>
    <definedName name="solver_est" localSheetId="1" hidden="1">1</definedName>
    <definedName name="solver_est" localSheetId="4" hidden="1">1</definedName>
    <definedName name="solver_est" localSheetId="5" hidden="1">1</definedName>
    <definedName name="solver_itr" localSheetId="1" hidden="1">2147483647</definedName>
    <definedName name="solver_itr" localSheetId="4" hidden="1">2147483647</definedName>
    <definedName name="solver_itr" localSheetId="5" hidden="1">2147483647</definedName>
    <definedName name="solver_lhs1" localSheetId="1" hidden="1">Berechnung!$AE$29</definedName>
    <definedName name="solver_lhs1" localSheetId="4" hidden="1">Daten!$D$56</definedName>
    <definedName name="solver_lhs1" localSheetId="5" hidden="1">Hilfe!#REF!</definedName>
    <definedName name="solver_lhs1" localSheetId="0" hidden="1">Startseite!#REF!</definedName>
    <definedName name="solver_lhs2" localSheetId="1" hidden="1">Berechnung!$AE$29</definedName>
    <definedName name="solver_lhs2" localSheetId="4" hidden="1">Daten!$D$56</definedName>
    <definedName name="solver_lhs2" localSheetId="5" hidden="1">Hilfe!#REF!</definedName>
    <definedName name="solver_lhs2" localSheetId="0" hidden="1">Startseite!#REF!</definedName>
    <definedName name="solver_lhs3" localSheetId="1" hidden="1">Berechnung!$AE$30</definedName>
    <definedName name="solver_lhs3" localSheetId="4" hidden="1">Daten!$G$50</definedName>
    <definedName name="solver_lhs4" localSheetId="1" hidden="1">Berechnung!$S$59</definedName>
    <definedName name="solver_lhs4" localSheetId="4" hidden="1">Daten!$G$50</definedName>
    <definedName name="solver_lhs5" localSheetId="1" hidden="1">Berechnung!$V$88</definedName>
    <definedName name="solver_mip" localSheetId="1" hidden="1">2147483647</definedName>
    <definedName name="solver_mip" localSheetId="4" hidden="1">2147483647</definedName>
    <definedName name="solver_mip" localSheetId="5" hidden="1">2147483647</definedName>
    <definedName name="solver_mni" localSheetId="1" hidden="1">30</definedName>
    <definedName name="solver_mni" localSheetId="4" hidden="1">30</definedName>
    <definedName name="solver_mni" localSheetId="5" hidden="1">30</definedName>
    <definedName name="solver_mrt" localSheetId="1" hidden="1">0.075</definedName>
    <definedName name="solver_mrt" localSheetId="4" hidden="1">0.075</definedName>
    <definedName name="solver_mrt" localSheetId="5" hidden="1">0.075</definedName>
    <definedName name="solver_msl" localSheetId="1" hidden="1">2</definedName>
    <definedName name="solver_msl" localSheetId="4" hidden="1">2</definedName>
    <definedName name="solver_msl" localSheetId="5" hidden="1">2</definedName>
    <definedName name="solver_neg" localSheetId="1" hidden="1">1</definedName>
    <definedName name="solver_neg" localSheetId="4" hidden="1">1</definedName>
    <definedName name="solver_neg" localSheetId="5" hidden="1">1</definedName>
    <definedName name="solver_neg" localSheetId="0" hidden="1">1</definedName>
    <definedName name="solver_nod" localSheetId="1" hidden="1">2147483647</definedName>
    <definedName name="solver_nod" localSheetId="4" hidden="1">2147483647</definedName>
    <definedName name="solver_nod" localSheetId="5" hidden="1">2147483647</definedName>
    <definedName name="solver_num" localSheetId="1" hidden="1">0</definedName>
    <definedName name="solver_num" localSheetId="4" hidden="1">3</definedName>
    <definedName name="solver_num" localSheetId="5" hidden="1">2</definedName>
    <definedName name="solver_num" localSheetId="0" hidden="1">2</definedName>
    <definedName name="solver_nwt" localSheetId="1" hidden="1">1</definedName>
    <definedName name="solver_nwt" localSheetId="4" hidden="1">1</definedName>
    <definedName name="solver_nwt" localSheetId="5" hidden="1">1</definedName>
    <definedName name="solver_opt" localSheetId="4" hidden="1">Daten!$G$50</definedName>
    <definedName name="solver_opt" localSheetId="5" hidden="1">Hilfe!#REF!</definedName>
    <definedName name="solver_opt" localSheetId="0" hidden="1">Startseite!#REF!</definedName>
    <definedName name="solver_pre" localSheetId="1" hidden="1">0.000001</definedName>
    <definedName name="solver_pre" localSheetId="4" hidden="1">0.01</definedName>
    <definedName name="solver_pre" localSheetId="5" hidden="1">0.000001</definedName>
    <definedName name="solver_rbv" localSheetId="1" hidden="1">1</definedName>
    <definedName name="solver_rbv" localSheetId="4" hidden="1">1</definedName>
    <definedName name="solver_rbv" localSheetId="5" hidden="1">1</definedName>
    <definedName name="solver_rel1" localSheetId="1" hidden="1">1</definedName>
    <definedName name="solver_rel1" localSheetId="4" hidden="1">1</definedName>
    <definedName name="solver_rel1" localSheetId="5" hidden="1">1</definedName>
    <definedName name="solver_rel1" localSheetId="0" hidden="1">1</definedName>
    <definedName name="solver_rel2" localSheetId="1" hidden="1">3</definedName>
    <definedName name="solver_rel2" localSheetId="4" hidden="1">3</definedName>
    <definedName name="solver_rel2" localSheetId="5" hidden="1">3</definedName>
    <definedName name="solver_rel2" localSheetId="0" hidden="1">3</definedName>
    <definedName name="solver_rel3" localSheetId="1" hidden="1">1</definedName>
    <definedName name="solver_rel3" localSheetId="4" hidden="1">1</definedName>
    <definedName name="solver_rel4" localSheetId="1" hidden="1">3</definedName>
    <definedName name="solver_rel4" localSheetId="4" hidden="1">3</definedName>
    <definedName name="solver_rel5" localSheetId="1" hidden="1">1</definedName>
    <definedName name="solver_rhs1" localSheetId="1" hidden="1">Berechnung!$AE$31</definedName>
    <definedName name="solver_rhs1" localSheetId="4" hidden="1">Daten!$G$56</definedName>
    <definedName name="solver_rhs1" localSheetId="5" hidden="1">Hilfe!#REF!</definedName>
    <definedName name="solver_rhs1" localSheetId="0" hidden="1">Startseite!AA110</definedName>
    <definedName name="solver_rhs2" localSheetId="1" hidden="1">0</definedName>
    <definedName name="solver_rhs2" localSheetId="4" hidden="1">0</definedName>
    <definedName name="solver_rhs2" localSheetId="5" hidden="1">Hilfe!#REF!</definedName>
    <definedName name="solver_rhs2" localSheetId="0" hidden="1">Startseite!AA106</definedName>
    <definedName name="solver_rhs3" localSheetId="1" hidden="1">Berechnung!$AE$32</definedName>
    <definedName name="solver_rhs3" localSheetId="4" hidden="1">Daten!$D$55</definedName>
    <definedName name="solver_rhs4" localSheetId="1" hidden="1">2</definedName>
    <definedName name="solver_rhs4" localSheetId="4" hidden="1">0</definedName>
    <definedName name="solver_rhs5" localSheetId="1" hidden="1">120</definedName>
    <definedName name="solver_rlx" localSheetId="1" hidden="1">2</definedName>
    <definedName name="solver_rlx" localSheetId="4" hidden="1">2</definedName>
    <definedName name="solver_rlx" localSheetId="5" hidden="1">2</definedName>
    <definedName name="solver_rsd" localSheetId="1" hidden="1">0</definedName>
    <definedName name="solver_rsd" localSheetId="4" hidden="1">0</definedName>
    <definedName name="solver_rsd" localSheetId="5" hidden="1">0</definedName>
    <definedName name="solver_scl" localSheetId="1" hidden="1">1</definedName>
    <definedName name="solver_scl" localSheetId="4" hidden="1">1</definedName>
    <definedName name="solver_scl" localSheetId="5" hidden="1">1</definedName>
    <definedName name="solver_sho" localSheetId="1" hidden="1">2</definedName>
    <definedName name="solver_sho" localSheetId="4" hidden="1">2</definedName>
    <definedName name="solver_sho" localSheetId="5" hidden="1">2</definedName>
    <definedName name="solver_ssz" localSheetId="1" hidden="1">100</definedName>
    <definedName name="solver_ssz" localSheetId="4" hidden="1">100</definedName>
    <definedName name="solver_ssz" localSheetId="5" hidden="1">100</definedName>
    <definedName name="solver_tim" localSheetId="1" hidden="1">2147483647</definedName>
    <definedName name="solver_tim" localSheetId="4" hidden="1">2147483647</definedName>
    <definedName name="solver_tim" localSheetId="5" hidden="1">2147483647</definedName>
    <definedName name="solver_tol" localSheetId="1" hidden="1">0.01</definedName>
    <definedName name="solver_tol" localSheetId="4" hidden="1">0.01</definedName>
    <definedName name="solver_tol" localSheetId="5" hidden="1">0.01</definedName>
    <definedName name="solver_typ" localSheetId="1" hidden="1">1</definedName>
    <definedName name="solver_typ" localSheetId="4" hidden="1">1</definedName>
    <definedName name="solver_typ" localSheetId="5" hidden="1">3</definedName>
    <definedName name="solver_typ" localSheetId="0" hidden="1">3</definedName>
    <definedName name="solver_val" localSheetId="1" hidden="1">0</definedName>
    <definedName name="solver_val" localSheetId="4" hidden="1">"$120.00 "</definedName>
    <definedName name="solver_val" localSheetId="5" hidden="1">120000</definedName>
    <definedName name="solver_val" localSheetId="0" hidden="1">0</definedName>
    <definedName name="solver_ver" localSheetId="1" hidden="1">3</definedName>
    <definedName name="solver_ver" localSheetId="4" hidden="1">3</definedName>
    <definedName name="solver_ver" localSheetId="5" hidden="1">3</definedName>
    <definedName name="solver_ver" localSheetId="0" hidden="1">3</definedName>
  </definedNames>
  <calcPr calcId="162913"/>
</workbook>
</file>

<file path=xl/calcChain.xml><?xml version="1.0" encoding="utf-8"?>
<calcChain xmlns="http://schemas.openxmlformats.org/spreadsheetml/2006/main">
  <c r="V40" i="1" l="1"/>
  <c r="D108" i="1"/>
  <c r="E81" i="8"/>
  <c r="H96" i="8"/>
  <c r="H95" i="8"/>
  <c r="H93" i="8"/>
  <c r="H92" i="8"/>
  <c r="H84" i="8"/>
  <c r="H82" i="8"/>
  <c r="H81" i="8"/>
  <c r="H79" i="8"/>
  <c r="H78" i="8"/>
  <c r="H77" i="8"/>
  <c r="H76" i="8"/>
  <c r="H75" i="8"/>
  <c r="H74" i="8"/>
  <c r="H72" i="8"/>
  <c r="H71" i="8"/>
  <c r="H70" i="8"/>
  <c r="S21" i="1" s="1"/>
  <c r="H69" i="8"/>
  <c r="H68" i="8"/>
  <c r="H67" i="8"/>
  <c r="H66" i="8"/>
  <c r="H65" i="8"/>
  <c r="H63" i="8"/>
  <c r="H62" i="8"/>
  <c r="H61" i="8"/>
  <c r="H59" i="8"/>
  <c r="H58" i="8"/>
  <c r="H57" i="8"/>
  <c r="H55" i="8"/>
  <c r="H53" i="8"/>
  <c r="H52" i="8"/>
  <c r="H51" i="8"/>
  <c r="H50" i="8"/>
  <c r="H48" i="8"/>
  <c r="H47" i="8"/>
  <c r="H46" i="8"/>
  <c r="H45" i="8"/>
  <c r="H44" i="8"/>
  <c r="H43" i="8"/>
  <c r="H42" i="8"/>
  <c r="H41" i="8"/>
  <c r="O21" i="1"/>
  <c r="AD7" i="1"/>
  <c r="AF130" i="1"/>
  <c r="AE29" i="1"/>
  <c r="M67" i="5" l="1"/>
  <c r="E42" i="6" s="1"/>
  <c r="D42" i="6"/>
  <c r="A42" i="6"/>
  <c r="A43" i="6"/>
  <c r="M66" i="5"/>
  <c r="N66" i="5" s="1"/>
  <c r="K101" i="9"/>
  <c r="G25" i="1"/>
  <c r="U98" i="8"/>
  <c r="J74" i="9" s="1"/>
  <c r="J78" i="9" s="1"/>
  <c r="S72" i="8"/>
  <c r="I72" i="8" s="1"/>
  <c r="AE154" i="1"/>
  <c r="AF154" i="1" s="1"/>
  <c r="AE152" i="1"/>
  <c r="AF152" i="1" s="1"/>
  <c r="D52" i="1"/>
  <c r="L52" i="1" s="1"/>
  <c r="D51" i="1"/>
  <c r="D50" i="1"/>
  <c r="K119" i="9"/>
  <c r="K87" i="9"/>
  <c r="K84" i="9"/>
  <c r="K83" i="9"/>
  <c r="O81" i="5"/>
  <c r="S5" i="5" s="1"/>
  <c r="O80" i="5"/>
  <c r="D10" i="1"/>
  <c r="I10" i="1"/>
  <c r="K40" i="8"/>
  <c r="C40" i="8"/>
  <c r="M40" i="8" s="1"/>
  <c r="X28" i="5"/>
  <c r="N18" i="1" s="1"/>
  <c r="AF17" i="5"/>
  <c r="L34" i="5"/>
  <c r="D13" i="6" s="1"/>
  <c r="C43" i="6"/>
  <c r="C41" i="6"/>
  <c r="K90" i="9"/>
  <c r="S59" i="8"/>
  <c r="N21" i="1"/>
  <c r="V21" i="1"/>
  <c r="R21" i="1"/>
  <c r="M93" i="8"/>
  <c r="M27" i="1"/>
  <c r="E76" i="8"/>
  <c r="AE7" i="1"/>
  <c r="D22" i="1"/>
  <c r="E93" i="5"/>
  <c r="B93" i="5"/>
  <c r="K61" i="9"/>
  <c r="AG24" i="5"/>
  <c r="AG26" i="5"/>
  <c r="AG25" i="5"/>
  <c r="O71" i="5"/>
  <c r="R71" i="8" s="1"/>
  <c r="C44" i="8"/>
  <c r="L32" i="1"/>
  <c r="M32" i="1" s="1"/>
  <c r="J32" i="1"/>
  <c r="K32" i="1" s="1"/>
  <c r="C32" i="5"/>
  <c r="K46" i="8"/>
  <c r="K45" i="8"/>
  <c r="R46" i="8"/>
  <c r="K80" i="9" s="1"/>
  <c r="Q46" i="8"/>
  <c r="S46" i="8" s="1"/>
  <c r="T46" i="8" s="1"/>
  <c r="Q45" i="8"/>
  <c r="S45" i="8" s="1"/>
  <c r="T45" i="8" s="1"/>
  <c r="K27" i="1"/>
  <c r="M80" i="5"/>
  <c r="M46" i="8"/>
  <c r="M45" i="8"/>
  <c r="AD140" i="1"/>
  <c r="AD138" i="1"/>
  <c r="AD136" i="1"/>
  <c r="AE144" i="1"/>
  <c r="AD144" i="1"/>
  <c r="AD139" i="1"/>
  <c r="AF144" i="1" s="1"/>
  <c r="AE126" i="1"/>
  <c r="AD126" i="1"/>
  <c r="AD118" i="1"/>
  <c r="AD122" i="1"/>
  <c r="AD120" i="1"/>
  <c r="AD121" i="1"/>
  <c r="AF126" i="1" s="1"/>
  <c r="J38" i="5"/>
  <c r="C16" i="6" s="1"/>
  <c r="J44" i="5"/>
  <c r="C22" i="6" s="1"/>
  <c r="K63" i="8"/>
  <c r="R79" i="8"/>
  <c r="R78" i="8"/>
  <c r="R76" i="8"/>
  <c r="R75" i="8"/>
  <c r="Q76" i="8"/>
  <c r="Q79" i="8"/>
  <c r="R77" i="8"/>
  <c r="R74" i="8"/>
  <c r="R45" i="8"/>
  <c r="K44" i="8"/>
  <c r="Q44" i="8"/>
  <c r="S44" i="8" s="1"/>
  <c r="I44" i="8" s="1"/>
  <c r="AD51" i="1"/>
  <c r="U9" i="1"/>
  <c r="D29" i="1"/>
  <c r="O70" i="5"/>
  <c r="R70" i="8" s="1"/>
  <c r="O67" i="5"/>
  <c r="O65" i="5"/>
  <c r="R67" i="8" s="1"/>
  <c r="O63" i="5"/>
  <c r="R66" i="8" s="1"/>
  <c r="Q71" i="8"/>
  <c r="K71" i="8" s="1"/>
  <c r="K76" i="8" s="1"/>
  <c r="K79" i="8" s="1"/>
  <c r="AG13" i="5"/>
  <c r="AG14" i="5"/>
  <c r="AG15" i="5"/>
  <c r="AG16" i="5"/>
  <c r="AG17" i="5"/>
  <c r="AG18" i="5"/>
  <c r="AG19" i="5"/>
  <c r="AG12" i="5"/>
  <c r="K121" i="9"/>
  <c r="O69" i="5"/>
  <c r="R69" i="8" s="1"/>
  <c r="O61" i="5"/>
  <c r="R47" i="8" s="1"/>
  <c r="O59" i="5"/>
  <c r="R43" i="8" s="1"/>
  <c r="Y13" i="5"/>
  <c r="Y14" i="5"/>
  <c r="Y15" i="5"/>
  <c r="Y16" i="5"/>
  <c r="Y12" i="5"/>
  <c r="K11" i="5"/>
  <c r="O57" i="5"/>
  <c r="R42" i="8" s="1"/>
  <c r="O55" i="5"/>
  <c r="R41" i="8" s="1"/>
  <c r="J12" i="5"/>
  <c r="D10" i="2" s="1"/>
  <c r="U2" i="1"/>
  <c r="U1" i="1"/>
  <c r="V1" i="1"/>
  <c r="S1" i="1"/>
  <c r="S2" i="1" s="1"/>
  <c r="K28" i="1"/>
  <c r="AE102" i="1"/>
  <c r="AE101" i="1"/>
  <c r="K65" i="9"/>
  <c r="G131" i="5"/>
  <c r="G130" i="5"/>
  <c r="M92" i="8"/>
  <c r="J5" i="7"/>
  <c r="C6" i="2" s="1"/>
  <c r="R78" i="5"/>
  <c r="S96" i="5"/>
  <c r="AF42" i="1"/>
  <c r="R93" i="5"/>
  <c r="C11" i="6"/>
  <c r="K22" i="9"/>
  <c r="Q104" i="5"/>
  <c r="S104" i="5" s="1"/>
  <c r="S101" i="5"/>
  <c r="S100" i="5"/>
  <c r="S99" i="5"/>
  <c r="S98" i="5"/>
  <c r="S97" i="5"/>
  <c r="D5" i="9"/>
  <c r="K46" i="9"/>
  <c r="U46" i="5"/>
  <c r="U45" i="5"/>
  <c r="U44" i="5"/>
  <c r="V44" i="5" s="1"/>
  <c r="U43" i="5"/>
  <c r="U50" i="5"/>
  <c r="U49" i="5"/>
  <c r="V49" i="5" s="1"/>
  <c r="S49" i="5" s="1"/>
  <c r="M77" i="5"/>
  <c r="G28" i="5" s="1"/>
  <c r="U59" i="5"/>
  <c r="V59" i="5" s="1"/>
  <c r="U60" i="5"/>
  <c r="S60" i="5" s="1"/>
  <c r="U47" i="5"/>
  <c r="V47" i="5"/>
  <c r="S47" i="5"/>
  <c r="U48" i="5"/>
  <c r="M59" i="5"/>
  <c r="E35" i="6" s="1"/>
  <c r="U68" i="5"/>
  <c r="U69" i="5"/>
  <c r="V69" i="5" s="1"/>
  <c r="U65" i="5"/>
  <c r="U66" i="5"/>
  <c r="S66" i="5"/>
  <c r="U67" i="5"/>
  <c r="V67" i="5"/>
  <c r="U64" i="5"/>
  <c r="V64" i="5"/>
  <c r="S64" i="5"/>
  <c r="U58" i="5"/>
  <c r="V58" i="5"/>
  <c r="S58" i="5"/>
  <c r="V55" i="5"/>
  <c r="U56" i="5"/>
  <c r="V56" i="5"/>
  <c r="S56" i="5"/>
  <c r="U57" i="5"/>
  <c r="S57" i="5"/>
  <c r="U55" i="5"/>
  <c r="S55" i="5"/>
  <c r="U36" i="5"/>
  <c r="U38" i="5"/>
  <c r="U37" i="5"/>
  <c r="V37" i="5" s="1"/>
  <c r="S37" i="5" s="1"/>
  <c r="U35" i="5"/>
  <c r="V35" i="5" s="1"/>
  <c r="S35" i="5" s="1"/>
  <c r="U42" i="5"/>
  <c r="V42" i="5"/>
  <c r="S42" i="5"/>
  <c r="V57" i="5"/>
  <c r="V66" i="5"/>
  <c r="V65" i="5"/>
  <c r="S65" i="5"/>
  <c r="V43" i="5"/>
  <c r="S43" i="5"/>
  <c r="S58" i="8"/>
  <c r="T58" i="8" s="1"/>
  <c r="Q89" i="5"/>
  <c r="R92" i="5" s="1"/>
  <c r="D76" i="5"/>
  <c r="J5" i="9"/>
  <c r="J4" i="9"/>
  <c r="K70" i="9"/>
  <c r="K66" i="9"/>
  <c r="K64" i="9"/>
  <c r="K63" i="9"/>
  <c r="K62" i="9"/>
  <c r="K60" i="9"/>
  <c r="K59" i="9"/>
  <c r="K58" i="9"/>
  <c r="K57" i="9"/>
  <c r="K56" i="9"/>
  <c r="K55" i="9"/>
  <c r="K54" i="9"/>
  <c r="K53" i="9"/>
  <c r="K51" i="9"/>
  <c r="K50" i="9"/>
  <c r="K48" i="9"/>
  <c r="K49" i="9"/>
  <c r="K47" i="9"/>
  <c r="K45" i="9"/>
  <c r="K40" i="9"/>
  <c r="K41" i="9"/>
  <c r="K42" i="9"/>
  <c r="K39" i="9"/>
  <c r="K38" i="9"/>
  <c r="K36" i="9"/>
  <c r="K37" i="9"/>
  <c r="K35" i="9"/>
  <c r="K32" i="9"/>
  <c r="K31" i="9"/>
  <c r="K29" i="9"/>
  <c r="K30" i="9"/>
  <c r="K28" i="9"/>
  <c r="K26" i="9"/>
  <c r="K27" i="9"/>
  <c r="K25" i="9"/>
  <c r="K21" i="9"/>
  <c r="K20" i="9"/>
  <c r="K19" i="9"/>
  <c r="K18" i="9"/>
  <c r="K17" i="9"/>
  <c r="K16" i="9"/>
  <c r="K15" i="9"/>
  <c r="K14" i="9"/>
  <c r="K13" i="9"/>
  <c r="K11" i="9"/>
  <c r="F4" i="9"/>
  <c r="F5" i="9"/>
  <c r="J136" i="5"/>
  <c r="Y49" i="1"/>
  <c r="Y48" i="1"/>
  <c r="E92" i="5"/>
  <c r="E91" i="5"/>
  <c r="M35" i="1"/>
  <c r="M34" i="1"/>
  <c r="K34" i="1"/>
  <c r="K122" i="9"/>
  <c r="K120" i="9"/>
  <c r="K111" i="9"/>
  <c r="K109" i="9"/>
  <c r="K108" i="9"/>
  <c r="K89" i="9"/>
  <c r="K88" i="9"/>
  <c r="K86" i="9"/>
  <c r="K85" i="9"/>
  <c r="K82" i="9"/>
  <c r="K78" i="9"/>
  <c r="AE53" i="1"/>
  <c r="AF53" i="1" s="1"/>
  <c r="AE52" i="1"/>
  <c r="AF52" i="1" s="1"/>
  <c r="C38" i="8"/>
  <c r="Q55" i="8"/>
  <c r="S55" i="8" s="1"/>
  <c r="T55" i="8" s="1"/>
  <c r="M55" i="8"/>
  <c r="M54" i="8"/>
  <c r="K54" i="8"/>
  <c r="K55" i="8" s="1"/>
  <c r="K49" i="8"/>
  <c r="K50" i="8" s="1"/>
  <c r="K51" i="8" s="1"/>
  <c r="K52" i="8" s="1"/>
  <c r="K53" i="8" s="1"/>
  <c r="K17" i="8"/>
  <c r="K18" i="8"/>
  <c r="Q122" i="5"/>
  <c r="Q123" i="5"/>
  <c r="Q124" i="5"/>
  <c r="Q121" i="5"/>
  <c r="Q120" i="5"/>
  <c r="Q119" i="5"/>
  <c r="M3" i="9"/>
  <c r="L3" i="9"/>
  <c r="H4" i="9"/>
  <c r="G4" i="9"/>
  <c r="D4" i="9"/>
  <c r="B4" i="1"/>
  <c r="AB3" i="1" s="1"/>
  <c r="C37" i="6"/>
  <c r="C36" i="6"/>
  <c r="V27" i="5"/>
  <c r="AF70" i="1"/>
  <c r="AF69" i="1"/>
  <c r="AF67" i="1"/>
  <c r="K97" i="8"/>
  <c r="K96" i="8"/>
  <c r="M96" i="8"/>
  <c r="B119" i="5"/>
  <c r="B121" i="5"/>
  <c r="B120" i="5"/>
  <c r="Y54" i="2"/>
  <c r="Y59" i="2" s="1"/>
  <c r="U80" i="1"/>
  <c r="P35" i="1"/>
  <c r="Q98" i="8"/>
  <c r="K110" i="9"/>
  <c r="Q3" i="5"/>
  <c r="Q5" i="5"/>
  <c r="K95" i="8"/>
  <c r="K94" i="8"/>
  <c r="S97" i="8"/>
  <c r="I97" i="8" s="1"/>
  <c r="M97" i="8"/>
  <c r="M95" i="8"/>
  <c r="M94" i="8"/>
  <c r="S95" i="8"/>
  <c r="I95" i="8" s="1"/>
  <c r="M2" i="5"/>
  <c r="E22" i="2" s="1"/>
  <c r="G6" i="2"/>
  <c r="M11" i="7"/>
  <c r="M12"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0" i="7"/>
  <c r="S81" i="8"/>
  <c r="T81" i="8" s="1"/>
  <c r="L56" i="5"/>
  <c r="M48" i="5"/>
  <c r="N48" i="5" s="1"/>
  <c r="M24" i="5"/>
  <c r="N24" i="5" s="1"/>
  <c r="M30" i="5"/>
  <c r="N30" i="5" s="1"/>
  <c r="M29" i="5"/>
  <c r="L30" i="1" s="1"/>
  <c r="M28" i="5"/>
  <c r="N28" i="5" s="1"/>
  <c r="M27" i="5"/>
  <c r="E6" i="6" s="1"/>
  <c r="M26" i="5"/>
  <c r="E5" i="6" s="1"/>
  <c r="M25" i="5"/>
  <c r="N25" i="5" s="1"/>
  <c r="Q87" i="8"/>
  <c r="Q90" i="8" s="1"/>
  <c r="S82" i="8"/>
  <c r="I82" i="8" s="1"/>
  <c r="Q74" i="8"/>
  <c r="S57" i="8"/>
  <c r="I57" i="8" s="1"/>
  <c r="M75" i="5"/>
  <c r="O49" i="5"/>
  <c r="J4" i="5" s="1"/>
  <c r="K68" i="8"/>
  <c r="C39" i="8"/>
  <c r="H6" i="1"/>
  <c r="O47" i="5"/>
  <c r="O87" i="8"/>
  <c r="O88" i="8"/>
  <c r="O90" i="8"/>
  <c r="O86" i="8"/>
  <c r="I80" i="8"/>
  <c r="I83" i="8"/>
  <c r="M88" i="8"/>
  <c r="M91" i="8"/>
  <c r="M86" i="8"/>
  <c r="M49" i="8"/>
  <c r="M64" i="8"/>
  <c r="M73" i="8"/>
  <c r="M80" i="8"/>
  <c r="M83" i="8"/>
  <c r="M85" i="8"/>
  <c r="Q78" i="8"/>
  <c r="Q77" i="8"/>
  <c r="Q75" i="8"/>
  <c r="AB74" i="1"/>
  <c r="AB75" i="1" s="1"/>
  <c r="H5" i="5"/>
  <c r="O108" i="5"/>
  <c r="O109" i="5"/>
  <c r="D110" i="5"/>
  <c r="Q126" i="5"/>
  <c r="O126" i="5"/>
  <c r="N126" i="5"/>
  <c r="O121" i="5"/>
  <c r="N121" i="5"/>
  <c r="N120" i="5"/>
  <c r="O120" i="5"/>
  <c r="O119" i="5"/>
  <c r="N119" i="5"/>
  <c r="D67" i="1"/>
  <c r="E104" i="5"/>
  <c r="E103" i="5"/>
  <c r="B21" i="5"/>
  <c r="B41" i="5" s="1"/>
  <c r="K22" i="8"/>
  <c r="U9" i="2"/>
  <c r="X12" i="1" s="1"/>
  <c r="AB62" i="1"/>
  <c r="D41" i="5"/>
  <c r="L60" i="5" s="1"/>
  <c r="B43" i="5"/>
  <c r="B42" i="5"/>
  <c r="F21" i="5"/>
  <c r="E21" i="5"/>
  <c r="P1" i="1"/>
  <c r="D1" i="1"/>
  <c r="J1" i="1"/>
  <c r="J2" i="1" s="1"/>
  <c r="V2" i="1"/>
  <c r="Q1" i="1"/>
  <c r="Q2" i="1" s="1"/>
  <c r="I1" i="1"/>
  <c r="I2" i="1" s="1"/>
  <c r="L1" i="1"/>
  <c r="L2" i="1" s="1"/>
  <c r="D2" i="1"/>
  <c r="P2" i="1"/>
  <c r="K1" i="1"/>
  <c r="K2" i="1" s="1"/>
  <c r="G1" i="1"/>
  <c r="G2" i="1" s="1"/>
  <c r="M44" i="8"/>
  <c r="V24" i="5"/>
  <c r="U24" i="5"/>
  <c r="S24" i="5"/>
  <c r="T24" i="5" s="1"/>
  <c r="A4" i="6"/>
  <c r="A5" i="6"/>
  <c r="V26" i="5"/>
  <c r="U26" i="5"/>
  <c r="S26" i="5"/>
  <c r="T26" i="5" s="1"/>
  <c r="U27" i="5"/>
  <c r="S27" i="5"/>
  <c r="T27" i="5" s="1"/>
  <c r="S25" i="5"/>
  <c r="T25" i="5" s="1"/>
  <c r="U25" i="5"/>
  <c r="V25" i="5"/>
  <c r="M12" i="5"/>
  <c r="Q84" i="8" s="1"/>
  <c r="S84" i="8" s="1"/>
  <c r="C4" i="6"/>
  <c r="D4" i="6"/>
  <c r="C3" i="6"/>
  <c r="D3" i="6"/>
  <c r="C10" i="6"/>
  <c r="C19" i="6"/>
  <c r="C18" i="6"/>
  <c r="A6" i="6"/>
  <c r="A7" i="6"/>
  <c r="A8" i="6"/>
  <c r="A9" i="6"/>
  <c r="A10" i="6"/>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K12" i="8"/>
  <c r="K13" i="8"/>
  <c r="K14" i="8"/>
  <c r="K15" i="8"/>
  <c r="K16" i="8"/>
  <c r="K19" i="8"/>
  <c r="K20" i="8"/>
  <c r="K21" i="8"/>
  <c r="K23" i="8"/>
  <c r="K24" i="8"/>
  <c r="K25" i="8"/>
  <c r="K26" i="8"/>
  <c r="K27" i="8"/>
  <c r="K28" i="8"/>
  <c r="K29" i="8"/>
  <c r="K30" i="8"/>
  <c r="K31" i="8"/>
  <c r="K32" i="8"/>
  <c r="K33" i="8"/>
  <c r="K34" i="8"/>
  <c r="K35" i="8"/>
  <c r="K11" i="8"/>
  <c r="M76" i="5"/>
  <c r="D11" i="1" s="1"/>
  <c r="M78" i="5"/>
  <c r="M79" i="5"/>
  <c r="M81" i="5"/>
  <c r="R76" i="5" s="1"/>
  <c r="R77" i="5" s="1"/>
  <c r="M62" i="8"/>
  <c r="M63" i="8"/>
  <c r="M61" i="8"/>
  <c r="O68" i="8"/>
  <c r="O67" i="8"/>
  <c r="O66" i="8"/>
  <c r="O65" i="8"/>
  <c r="K35" i="1"/>
  <c r="Q59" i="1"/>
  <c r="E20" i="5" s="1"/>
  <c r="O5" i="5"/>
  <c r="M18" i="8" s="1"/>
  <c r="L58" i="5"/>
  <c r="M58" i="5" s="1"/>
  <c r="L53" i="5"/>
  <c r="M53" i="5" s="1"/>
  <c r="E30" i="6" s="1"/>
  <c r="L45" i="5"/>
  <c r="M45" i="5" s="1"/>
  <c r="E23" i="6" s="1"/>
  <c r="M39" i="5"/>
  <c r="E17" i="6" s="1"/>
  <c r="P92" i="8"/>
  <c r="S92" i="8" s="1"/>
  <c r="T92" i="8" s="1"/>
  <c r="K118" i="9"/>
  <c r="K34" i="9"/>
  <c r="K33" i="9"/>
  <c r="D41" i="6"/>
  <c r="D39" i="6"/>
  <c r="D38" i="6"/>
  <c r="D35" i="6"/>
  <c r="D32" i="6"/>
  <c r="D25" i="6"/>
  <c r="D24" i="6"/>
  <c r="D17" i="6"/>
  <c r="D16" i="6"/>
  <c r="D15" i="6"/>
  <c r="D14" i="6"/>
  <c r="D9" i="6"/>
  <c r="D8" i="6"/>
  <c r="D7" i="6"/>
  <c r="D6" i="6"/>
  <c r="D5" i="6"/>
  <c r="C5" i="6"/>
  <c r="C6" i="6"/>
  <c r="C7" i="6"/>
  <c r="C8" i="6"/>
  <c r="C9" i="6"/>
  <c r="C14" i="6"/>
  <c r="C15" i="6"/>
  <c r="C17" i="6"/>
  <c r="C20" i="6"/>
  <c r="C21" i="6"/>
  <c r="C23" i="6"/>
  <c r="C28" i="6"/>
  <c r="C29" i="6"/>
  <c r="C30" i="6"/>
  <c r="C31" i="6"/>
  <c r="C32" i="6"/>
  <c r="C33" i="6"/>
  <c r="C34" i="6"/>
  <c r="C35" i="6"/>
  <c r="C38" i="6"/>
  <c r="C39" i="6"/>
  <c r="C40" i="6"/>
  <c r="C44" i="6"/>
  <c r="G25" i="5"/>
  <c r="B5" i="7"/>
  <c r="C7" i="1" s="1"/>
  <c r="C112" i="1" s="1"/>
  <c r="F19" i="5"/>
  <c r="E19" i="5"/>
  <c r="G15" i="5"/>
  <c r="G44" i="5" s="1"/>
  <c r="G8" i="5"/>
  <c r="D133" i="5" s="1"/>
  <c r="G22" i="5"/>
  <c r="G23" i="5"/>
  <c r="M29" i="1"/>
  <c r="M28" i="1"/>
  <c r="K29" i="1"/>
  <c r="F20" i="5"/>
  <c r="AF90" i="1"/>
  <c r="V48" i="5"/>
  <c r="S48" i="5"/>
  <c r="X23" i="5"/>
  <c r="S67" i="5"/>
  <c r="N22" i="1"/>
  <c r="S96" i="8"/>
  <c r="T96" i="8" s="1"/>
  <c r="R3" i="5"/>
  <c r="K44" i="9"/>
  <c r="L52" i="5"/>
  <c r="D29" i="6" s="1"/>
  <c r="A44" i="6"/>
  <c r="S93" i="8"/>
  <c r="T93" i="8" s="1"/>
  <c r="AF104" i="1"/>
  <c r="AE104" i="1" s="1"/>
  <c r="AE105" i="1" s="1"/>
  <c r="AF105" i="1" s="1"/>
  <c r="AD97" i="1" s="1"/>
  <c r="K79" i="9"/>
  <c r="V83" i="1"/>
  <c r="G54" i="5"/>
  <c r="AE28" i="1"/>
  <c r="G55" i="5"/>
  <c r="I52" i="1"/>
  <c r="C112" i="9"/>
  <c r="C99" i="9"/>
  <c r="C65" i="9"/>
  <c r="C68" i="9"/>
  <c r="C121" i="9"/>
  <c r="C71" i="9"/>
  <c r="C89" i="9"/>
  <c r="C49" i="9"/>
  <c r="C105" i="9"/>
  <c r="C33" i="9"/>
  <c r="C19" i="9"/>
  <c r="C77" i="9"/>
  <c r="C93" i="9"/>
  <c r="C117" i="9"/>
  <c r="C87" i="9"/>
  <c r="C55" i="9"/>
  <c r="C50" i="9"/>
  <c r="C72" i="9"/>
  <c r="C47" i="9"/>
  <c r="C78" i="9"/>
  <c r="C60" i="9"/>
  <c r="C97" i="9"/>
  <c r="C57" i="9"/>
  <c r="C69" i="9"/>
  <c r="C96" i="9"/>
  <c r="C91" i="9"/>
  <c r="C103" i="9"/>
  <c r="C38" i="9"/>
  <c r="C102" i="9"/>
  <c r="C28" i="9"/>
  <c r="C83" i="9"/>
  <c r="C45" i="9"/>
  <c r="C74" i="9"/>
  <c r="C76" i="9"/>
  <c r="C34" i="9"/>
  <c r="C110" i="9"/>
  <c r="C101" i="9"/>
  <c r="C94" i="9"/>
  <c r="C58" i="9"/>
  <c r="C67" i="9"/>
  <c r="C98" i="9"/>
  <c r="C114" i="9"/>
  <c r="C54" i="9"/>
  <c r="C36" i="9"/>
  <c r="C66" i="9"/>
  <c r="C86" i="9"/>
  <c r="C37" i="9"/>
  <c r="C31" i="9"/>
  <c r="C70" i="9"/>
  <c r="C81" i="9"/>
  <c r="C32" i="9"/>
  <c r="C43" i="9"/>
  <c r="C24" i="9"/>
  <c r="C40" i="9"/>
  <c r="C64" i="9"/>
  <c r="C48" i="9"/>
  <c r="C73" i="9"/>
  <c r="C104" i="9"/>
  <c r="C120" i="9"/>
  <c r="C16" i="9"/>
  <c r="C56" i="9"/>
  <c r="C44" i="9"/>
  <c r="C62" i="9"/>
  <c r="C80" i="9"/>
  <c r="C118" i="9"/>
  <c r="C21" i="9"/>
  <c r="C52" i="9"/>
  <c r="C41" i="9"/>
  <c r="C51" i="9"/>
  <c r="C108" i="9"/>
  <c r="C11" i="9"/>
  <c r="C116" i="9"/>
  <c r="C95" i="9"/>
  <c r="C42" i="9"/>
  <c r="C61" i="9"/>
  <c r="C75" i="9"/>
  <c r="C46" i="9"/>
  <c r="C113" i="9"/>
  <c r="C39" i="9"/>
  <c r="C25" i="9"/>
  <c r="C53" i="9"/>
  <c r="C27" i="9"/>
  <c r="C92" i="9"/>
  <c r="C22" i="9"/>
  <c r="C84" i="9"/>
  <c r="C59" i="9"/>
  <c r="C63" i="9"/>
  <c r="C106" i="9"/>
  <c r="C35" i="9"/>
  <c r="C17" i="9"/>
  <c r="C88" i="9"/>
  <c r="C15" i="9"/>
  <c r="C107" i="9"/>
  <c r="C26" i="9"/>
  <c r="C122" i="9"/>
  <c r="C111" i="9"/>
  <c r="C90" i="9"/>
  <c r="C29" i="9"/>
  <c r="C13" i="9"/>
  <c r="C30" i="9"/>
  <c r="C85" i="9"/>
  <c r="C115" i="9"/>
  <c r="C79" i="9"/>
  <c r="C82" i="9"/>
  <c r="C119" i="9"/>
  <c r="C14" i="9"/>
  <c r="C109" i="9"/>
  <c r="C18" i="9"/>
  <c r="C20" i="9"/>
  <c r="C23" i="9"/>
  <c r="C100" i="9"/>
  <c r="Y60" i="2" l="1"/>
  <c r="I58" i="8"/>
  <c r="T97" i="8"/>
  <c r="N11" i="1"/>
  <c r="V45" i="5"/>
  <c r="S45" i="5" s="1"/>
  <c r="S69" i="5"/>
  <c r="K52" i="9"/>
  <c r="T57" i="8"/>
  <c r="C59" i="1" s="1"/>
  <c r="C56" i="1" s="1"/>
  <c r="J96" i="9"/>
  <c r="X11" i="1"/>
  <c r="V38" i="5"/>
  <c r="S38" i="5" s="1"/>
  <c r="T44" i="8"/>
  <c r="J88" i="9"/>
  <c r="J114" i="9"/>
  <c r="J83" i="9"/>
  <c r="J120" i="9"/>
  <c r="Y56" i="2"/>
  <c r="V36" i="5"/>
  <c r="S36" i="5" s="1"/>
  <c r="V46" i="5"/>
  <c r="S46" i="5" s="1"/>
  <c r="J80" i="9"/>
  <c r="J94" i="9"/>
  <c r="I55" i="8"/>
  <c r="R68" i="8"/>
  <c r="K83" i="8"/>
  <c r="K84" i="8" s="1"/>
  <c r="AB86" i="1"/>
  <c r="K77" i="9"/>
  <c r="K104" i="9"/>
  <c r="S74" i="8"/>
  <c r="I74" i="8" s="1"/>
  <c r="K105" i="9"/>
  <c r="K75" i="9"/>
  <c r="K76" i="9"/>
  <c r="K103" i="9"/>
  <c r="U10" i="1"/>
  <c r="J95" i="9"/>
  <c r="Y61" i="2"/>
  <c r="V50" i="5"/>
  <c r="S50" i="5" s="1"/>
  <c r="J76" i="9"/>
  <c r="J112" i="9"/>
  <c r="J93" i="9"/>
  <c r="J103" i="9"/>
  <c r="J104" i="9"/>
  <c r="J117" i="9"/>
  <c r="J121" i="9"/>
  <c r="J100" i="9"/>
  <c r="J122" i="9"/>
  <c r="J118" i="9"/>
  <c r="J108" i="9"/>
  <c r="J89" i="9"/>
  <c r="I96" i="8"/>
  <c r="J101" i="9"/>
  <c r="J75" i="9"/>
  <c r="J87" i="9"/>
  <c r="J98" i="9"/>
  <c r="J84" i="9"/>
  <c r="D75" i="5"/>
  <c r="J82" i="9"/>
  <c r="J115" i="9"/>
  <c r="J119" i="9"/>
  <c r="J97" i="9"/>
  <c r="J90" i="9"/>
  <c r="T95" i="8"/>
  <c r="J85" i="9"/>
  <c r="J113" i="9"/>
  <c r="J107" i="9"/>
  <c r="J79" i="9"/>
  <c r="J99" i="9"/>
  <c r="J77" i="9"/>
  <c r="J109" i="9"/>
  <c r="J92" i="9"/>
  <c r="J110" i="9"/>
  <c r="J105" i="9"/>
  <c r="J81" i="9"/>
  <c r="J86" i="9"/>
  <c r="J106" i="9"/>
  <c r="J102" i="9"/>
  <c r="J116" i="9"/>
  <c r="J91" i="9"/>
  <c r="J111" i="9"/>
  <c r="E41" i="6"/>
  <c r="N27" i="5"/>
  <c r="D34" i="6"/>
  <c r="G21" i="5"/>
  <c r="G41" i="5" s="1"/>
  <c r="E7" i="6"/>
  <c r="E25" i="6"/>
  <c r="L41" i="1"/>
  <c r="G20" i="5"/>
  <c r="D30" i="6"/>
  <c r="AD142" i="1"/>
  <c r="G19" i="5"/>
  <c r="H77" i="5"/>
  <c r="AB21" i="1"/>
  <c r="L31" i="5"/>
  <c r="M31" i="5" s="1"/>
  <c r="L40" i="5" s="1"/>
  <c r="M40" i="5" s="1"/>
  <c r="E18" i="6" s="1"/>
  <c r="D34" i="1"/>
  <c r="G31" i="5"/>
  <c r="Q143" i="5"/>
  <c r="L65" i="5"/>
  <c r="D40" i="6" s="1"/>
  <c r="V60" i="5"/>
  <c r="T82" i="8"/>
  <c r="Y77" i="1" s="1"/>
  <c r="Y76" i="1"/>
  <c r="I81" i="8"/>
  <c r="T72" i="8"/>
  <c r="D65" i="1"/>
  <c r="M63" i="5" s="1"/>
  <c r="E39" i="6" s="1"/>
  <c r="AF66" i="1"/>
  <c r="AF68" i="1" s="1"/>
  <c r="S44" i="5"/>
  <c r="R65" i="8"/>
  <c r="T84" i="8"/>
  <c r="I84" i="8"/>
  <c r="D97" i="5"/>
  <c r="U28" i="1" s="1"/>
  <c r="S78" i="8"/>
  <c r="T78" i="8" s="1"/>
  <c r="K106" i="9"/>
  <c r="K93" i="9"/>
  <c r="K96" i="9"/>
  <c r="N79" i="5"/>
  <c r="N80" i="5" s="1"/>
  <c r="D99" i="5"/>
  <c r="AF60" i="1" s="1"/>
  <c r="K107" i="9"/>
  <c r="K100" i="9"/>
  <c r="S71" i="8"/>
  <c r="G69" i="5"/>
  <c r="K81" i="9"/>
  <c r="K98" i="9"/>
  <c r="S69" i="8"/>
  <c r="S70" i="8"/>
  <c r="K99" i="9"/>
  <c r="K95" i="9"/>
  <c r="K92" i="9"/>
  <c r="S79" i="8"/>
  <c r="I79" i="8" s="1"/>
  <c r="E90" i="5"/>
  <c r="M52" i="5"/>
  <c r="E29" i="6" s="1"/>
  <c r="D35" i="1"/>
  <c r="U70" i="1"/>
  <c r="M40" i="1"/>
  <c r="M43" i="1" s="1"/>
  <c r="D21" i="1"/>
  <c r="AB33" i="1"/>
  <c r="AB22" i="1"/>
  <c r="X22" i="1" s="1"/>
  <c r="D70" i="1"/>
  <c r="O110" i="5"/>
  <c r="N29" i="5"/>
  <c r="E8" i="6"/>
  <c r="D108" i="5"/>
  <c r="M47" i="5"/>
  <c r="E24" i="6" s="1"/>
  <c r="N58" i="5"/>
  <c r="E34" i="6"/>
  <c r="G52" i="1"/>
  <c r="M52" i="1"/>
  <c r="D33" i="6"/>
  <c r="M56" i="5"/>
  <c r="E33" i="6" s="1"/>
  <c r="N53" i="5"/>
  <c r="N67" i="5"/>
  <c r="AE24" i="1"/>
  <c r="AD124" i="1"/>
  <c r="R90" i="5"/>
  <c r="Q145" i="5" s="1"/>
  <c r="J145" i="5" s="1"/>
  <c r="R79" i="5"/>
  <c r="E9" i="6"/>
  <c r="J30" i="1"/>
  <c r="AE21" i="1" s="1"/>
  <c r="AE22" i="1" s="1"/>
  <c r="AD23" i="1" s="1"/>
  <c r="J50" i="5"/>
  <c r="C27" i="6" s="1"/>
  <c r="AB82" i="1"/>
  <c r="Q43" i="8"/>
  <c r="Q66" i="8" s="1"/>
  <c r="S66" i="8" s="1"/>
  <c r="L50" i="5"/>
  <c r="M50" i="5" s="1"/>
  <c r="Q41" i="8"/>
  <c r="R80" i="5"/>
  <c r="E73" i="5"/>
  <c r="J49" i="5"/>
  <c r="C26" i="6" s="1"/>
  <c r="AB84" i="1"/>
  <c r="J47" i="5"/>
  <c r="C24" i="6" s="1"/>
  <c r="AB42" i="1"/>
  <c r="AB43" i="1" s="1"/>
  <c r="L70" i="5"/>
  <c r="M70" i="5" s="1"/>
  <c r="G27" i="5"/>
  <c r="D42" i="1"/>
  <c r="AF71" i="1"/>
  <c r="E3" i="6"/>
  <c r="D84" i="5"/>
  <c r="L88" i="5" s="1"/>
  <c r="D126" i="5"/>
  <c r="D53" i="5"/>
  <c r="D49" i="5" s="1"/>
  <c r="N26" i="5"/>
  <c r="D36" i="6"/>
  <c r="M60" i="5"/>
  <c r="E36" i="6" s="1"/>
  <c r="L61" i="5"/>
  <c r="N59" i="5"/>
  <c r="N45" i="5"/>
  <c r="D23" i="6"/>
  <c r="V25" i="1"/>
  <c r="M30" i="1"/>
  <c r="AF101" i="1"/>
  <c r="AE100" i="1" s="1"/>
  <c r="N39" i="5"/>
  <c r="E4" i="6"/>
  <c r="G26" i="5"/>
  <c r="D72" i="5"/>
  <c r="V70" i="1"/>
  <c r="D40" i="1"/>
  <c r="L69" i="5"/>
  <c r="E71" i="5"/>
  <c r="D43" i="1"/>
  <c r="AB85" i="1"/>
  <c r="R40" i="8"/>
  <c r="H40" i="8" s="1"/>
  <c r="J48" i="5"/>
  <c r="C25" i="6" s="1"/>
  <c r="D41" i="1"/>
  <c r="N10" i="1"/>
  <c r="L49" i="5"/>
  <c r="J20" i="1"/>
  <c r="K93" i="8"/>
  <c r="U93" i="8" s="1"/>
  <c r="P42" i="1"/>
  <c r="C87" i="1"/>
  <c r="AB83" i="1"/>
  <c r="G30" i="5"/>
  <c r="G29" i="5"/>
  <c r="P43" i="1"/>
  <c r="I11" i="1"/>
  <c r="L54" i="5"/>
  <c r="Q139" i="5"/>
  <c r="Q42" i="8"/>
  <c r="G32" i="5"/>
  <c r="O103" i="7"/>
  <c r="V68" i="5"/>
  <c r="S68" i="5" s="1"/>
  <c r="S59" i="5"/>
  <c r="H5" i="8"/>
  <c r="O94" i="7"/>
  <c r="O37" i="7"/>
  <c r="M11" i="8"/>
  <c r="O82" i="7"/>
  <c r="O71" i="7"/>
  <c r="M15" i="8"/>
  <c r="O91" i="7"/>
  <c r="M12" i="8"/>
  <c r="O58" i="7"/>
  <c r="O102" i="7"/>
  <c r="O48" i="7"/>
  <c r="M23" i="8"/>
  <c r="O12" i="7"/>
  <c r="O84" i="7"/>
  <c r="O80" i="7"/>
  <c r="O42" i="7"/>
  <c r="O75" i="7"/>
  <c r="O30" i="7"/>
  <c r="O38" i="7"/>
  <c r="O78" i="7"/>
  <c r="O45" i="7"/>
  <c r="O86" i="7"/>
  <c r="O17" i="7"/>
  <c r="O98" i="7"/>
  <c r="O41" i="7"/>
  <c r="O51" i="7"/>
  <c r="O39" i="7"/>
  <c r="O40" i="7"/>
  <c r="O35" i="7"/>
  <c r="M33" i="8"/>
  <c r="O81" i="7"/>
  <c r="O29" i="7"/>
  <c r="O96" i="7"/>
  <c r="O31" i="7"/>
  <c r="O107" i="7"/>
  <c r="O104" i="7"/>
  <c r="O64" i="7"/>
  <c r="O85" i="7"/>
  <c r="O69" i="7"/>
  <c r="M29" i="8"/>
  <c r="O93" i="7"/>
  <c r="O77" i="7"/>
  <c r="O55" i="7"/>
  <c r="O106" i="7"/>
  <c r="O92" i="7"/>
  <c r="O97" i="7"/>
  <c r="O89" i="7"/>
  <c r="M30" i="8"/>
  <c r="M28" i="8"/>
  <c r="O47" i="7"/>
  <c r="O26" i="7"/>
  <c r="O32" i="7"/>
  <c r="M35" i="8"/>
  <c r="O22" i="7"/>
  <c r="O62" i="7"/>
  <c r="O3" i="5"/>
  <c r="R89" i="8" s="1"/>
  <c r="H89" i="8" s="1"/>
  <c r="O90" i="7"/>
  <c r="O76" i="7"/>
  <c r="O88" i="7"/>
  <c r="O23" i="7"/>
  <c r="O24" i="7"/>
  <c r="O43" i="7"/>
  <c r="O99" i="7"/>
  <c r="O109" i="7"/>
  <c r="M16" i="8"/>
  <c r="O54" i="7"/>
  <c r="O105" i="7"/>
  <c r="O63" i="7"/>
  <c r="O101" i="7"/>
  <c r="M26" i="8"/>
  <c r="M34" i="8"/>
  <c r="O19" i="7"/>
  <c r="O46" i="7"/>
  <c r="M17" i="8"/>
  <c r="M31" i="8"/>
  <c r="O15" i="7"/>
  <c r="M21" i="8"/>
  <c r="O57" i="7"/>
  <c r="M14" i="8"/>
  <c r="O60" i="7"/>
  <c r="O10" i="7"/>
  <c r="O59" i="7"/>
  <c r="O95" i="7"/>
  <c r="O49" i="7"/>
  <c r="O68" i="7"/>
  <c r="O27" i="7"/>
  <c r="M27" i="8"/>
  <c r="O44" i="7"/>
  <c r="O66" i="7"/>
  <c r="O11" i="7"/>
  <c r="M25" i="8"/>
  <c r="O67" i="7"/>
  <c r="M32" i="8"/>
  <c r="O53" i="7"/>
  <c r="O61" i="7"/>
  <c r="O34" i="7"/>
  <c r="O70" i="7"/>
  <c r="O14" i="7"/>
  <c r="M13" i="8"/>
  <c r="M20" i="8"/>
  <c r="O56" i="7"/>
  <c r="O65" i="7"/>
  <c r="O108" i="7"/>
  <c r="O50" i="7"/>
  <c r="M19" i="8"/>
  <c r="M22" i="8"/>
  <c r="O28" i="7"/>
  <c r="O100" i="7"/>
  <c r="M24" i="8"/>
  <c r="O72" i="7"/>
  <c r="O73" i="7"/>
  <c r="O20" i="7"/>
  <c r="B5" i="8"/>
  <c r="C6" i="1"/>
  <c r="C111" i="1" s="1"/>
  <c r="C7" i="2"/>
  <c r="E23" i="9"/>
  <c r="F23" i="9"/>
  <c r="D23" i="9"/>
  <c r="D96" i="9"/>
  <c r="E96" i="9"/>
  <c r="F96" i="9"/>
  <c r="F16" i="9"/>
  <c r="E16" i="9"/>
  <c r="D16" i="9"/>
  <c r="E42" i="9"/>
  <c r="F42" i="9"/>
  <c r="D42" i="9"/>
  <c r="F95" i="9"/>
  <c r="E95" i="9"/>
  <c r="D95" i="9"/>
  <c r="E92" i="9"/>
  <c r="F92" i="9"/>
  <c r="D92" i="9"/>
  <c r="F25" i="9"/>
  <c r="E25" i="9"/>
  <c r="D25" i="9"/>
  <c r="F39" i="9"/>
  <c r="D39" i="9"/>
  <c r="E39" i="9"/>
  <c r="F76" i="9"/>
  <c r="D76" i="9"/>
  <c r="E76" i="9"/>
  <c r="E18" i="9"/>
  <c r="D18" i="9"/>
  <c r="F18" i="9"/>
  <c r="F11" i="9"/>
  <c r="E11" i="9"/>
  <c r="D11" i="9"/>
  <c r="E105" i="9"/>
  <c r="F105" i="9"/>
  <c r="D105" i="9"/>
  <c r="D116" i="9"/>
  <c r="E116" i="9"/>
  <c r="F116" i="9"/>
  <c r="D69" i="9"/>
  <c r="F69" i="9"/>
  <c r="E69" i="9"/>
  <c r="D112" i="9"/>
  <c r="F112" i="9"/>
  <c r="E112" i="9"/>
  <c r="D75" i="9"/>
  <c r="F75" i="9"/>
  <c r="E75" i="9"/>
  <c r="E44" i="9"/>
  <c r="D44" i="9"/>
  <c r="F44" i="9"/>
  <c r="D71" i="9"/>
  <c r="F71" i="9"/>
  <c r="E71" i="9"/>
  <c r="D78" i="9"/>
  <c r="E78" i="9"/>
  <c r="F78" i="9"/>
  <c r="F101" i="9"/>
  <c r="E101" i="9"/>
  <c r="D101" i="9"/>
  <c r="E93" i="9"/>
  <c r="D93" i="9"/>
  <c r="F93" i="9"/>
  <c r="D88" i="9"/>
  <c r="F88" i="9"/>
  <c r="E88" i="9"/>
  <c r="D102" i="9"/>
  <c r="F102" i="9"/>
  <c r="E102" i="9"/>
  <c r="D87" i="9"/>
  <c r="E87" i="9"/>
  <c r="F87" i="9"/>
  <c r="F120" i="9"/>
  <c r="D120" i="9"/>
  <c r="E120" i="9"/>
  <c r="F107" i="9"/>
  <c r="D107" i="9"/>
  <c r="E107" i="9"/>
  <c r="D111" i="9"/>
  <c r="F111" i="9"/>
  <c r="E111" i="9"/>
  <c r="F15" i="9"/>
  <c r="D15" i="9"/>
  <c r="E15" i="9"/>
  <c r="D119" i="9"/>
  <c r="E119" i="9"/>
  <c r="F119" i="9"/>
  <c r="D41" i="9"/>
  <c r="F41" i="9"/>
  <c r="E41" i="9"/>
  <c r="D122" i="9"/>
  <c r="E122" i="9"/>
  <c r="F122" i="9"/>
  <c r="E82" i="9"/>
  <c r="F82" i="9"/>
  <c r="D82" i="9"/>
  <c r="F59" i="9"/>
  <c r="E59" i="9"/>
  <c r="D59" i="9"/>
  <c r="F103" i="9"/>
  <c r="D103" i="9"/>
  <c r="E103" i="9"/>
  <c r="F70" i="9"/>
  <c r="D70" i="9"/>
  <c r="E70" i="9"/>
  <c r="D43" i="9"/>
  <c r="F43" i="9"/>
  <c r="E43" i="9"/>
  <c r="F20" i="9"/>
  <c r="E20" i="9"/>
  <c r="D20" i="9"/>
  <c r="D58" i="9"/>
  <c r="F58" i="9"/>
  <c r="E58" i="9"/>
  <c r="E61" i="9"/>
  <c r="F61" i="9"/>
  <c r="D61" i="9"/>
  <c r="F118" i="9"/>
  <c r="D118" i="9"/>
  <c r="E118" i="9"/>
  <c r="E83" i="9"/>
  <c r="F83" i="9"/>
  <c r="D83" i="9"/>
  <c r="D110" i="9"/>
  <c r="E110" i="9"/>
  <c r="F110" i="9"/>
  <c r="F79" i="9"/>
  <c r="E79" i="9"/>
  <c r="D79" i="9"/>
  <c r="F97" i="9"/>
  <c r="E97" i="9"/>
  <c r="D97" i="9"/>
  <c r="F57" i="9"/>
  <c r="E57" i="9"/>
  <c r="D57" i="9"/>
  <c r="E28" i="9"/>
  <c r="F28" i="9"/>
  <c r="D28" i="9"/>
  <c r="E13" i="9"/>
  <c r="F13" i="9"/>
  <c r="D13" i="9"/>
  <c r="F113" i="9"/>
  <c r="D113" i="9"/>
  <c r="E113" i="9"/>
  <c r="F117" i="9"/>
  <c r="D117" i="9"/>
  <c r="E117" i="9"/>
  <c r="D67" i="9"/>
  <c r="F67" i="9"/>
  <c r="E67" i="9"/>
  <c r="E100" i="9"/>
  <c r="D100" i="9"/>
  <c r="F100" i="9"/>
  <c r="F56" i="9"/>
  <c r="E56" i="9"/>
  <c r="D56" i="9"/>
  <c r="E109" i="9"/>
  <c r="D109" i="9"/>
  <c r="F109" i="9"/>
  <c r="E62" i="9"/>
  <c r="D62" i="9"/>
  <c r="F62" i="9"/>
  <c r="D98" i="9"/>
  <c r="F98" i="9"/>
  <c r="E98" i="9"/>
  <c r="F19" i="9"/>
  <c r="E19" i="9"/>
  <c r="D19" i="9"/>
  <c r="E21" i="9"/>
  <c r="F21" i="9"/>
  <c r="D21" i="9"/>
  <c r="E91" i="9"/>
  <c r="D91" i="9"/>
  <c r="F91" i="9"/>
  <c r="E40" i="9"/>
  <c r="D40" i="9"/>
  <c r="F40" i="9"/>
  <c r="D80" i="9"/>
  <c r="F80" i="9"/>
  <c r="E80" i="9"/>
  <c r="E24" i="9"/>
  <c r="D24" i="9"/>
  <c r="F24" i="9"/>
  <c r="D34" i="9"/>
  <c r="E34" i="9"/>
  <c r="F34" i="9"/>
  <c r="F48" i="9"/>
  <c r="D48" i="9"/>
  <c r="E48" i="9"/>
  <c r="E51" i="9"/>
  <c r="D51" i="9"/>
  <c r="F51" i="9"/>
  <c r="D33" i="9"/>
  <c r="E33" i="9"/>
  <c r="F33" i="9"/>
  <c r="D45" i="9"/>
  <c r="E45" i="9"/>
  <c r="F45" i="9"/>
  <c r="E60" i="9"/>
  <c r="D60" i="9"/>
  <c r="F60" i="9"/>
  <c r="F46" i="9"/>
  <c r="E46" i="9"/>
  <c r="D46" i="9"/>
  <c r="D77" i="9"/>
  <c r="E77" i="9"/>
  <c r="F77" i="9"/>
  <c r="E106" i="9"/>
  <c r="F106" i="9"/>
  <c r="D106" i="9"/>
  <c r="F22" i="9"/>
  <c r="D22" i="9"/>
  <c r="E22" i="9"/>
  <c r="F26" i="9"/>
  <c r="D26" i="9"/>
  <c r="E26" i="9"/>
  <c r="E14" i="9"/>
  <c r="D14" i="9"/>
  <c r="F14" i="9"/>
  <c r="D115" i="9"/>
  <c r="E115" i="9"/>
  <c r="F115" i="9"/>
  <c r="D54" i="9"/>
  <c r="F54" i="9"/>
  <c r="E54" i="9"/>
  <c r="E104" i="9"/>
  <c r="F104" i="9"/>
  <c r="D104" i="9"/>
  <c r="F52" i="9"/>
  <c r="D52" i="9"/>
  <c r="E52" i="9"/>
  <c r="D72" i="9"/>
  <c r="E72" i="9"/>
  <c r="F72" i="9"/>
  <c r="D66" i="9"/>
  <c r="F66" i="9"/>
  <c r="E66" i="9"/>
  <c r="E29" i="9"/>
  <c r="D29" i="9"/>
  <c r="F29" i="9"/>
  <c r="E81" i="9"/>
  <c r="F81" i="9"/>
  <c r="D81" i="9"/>
  <c r="E114" i="9"/>
  <c r="F114" i="9"/>
  <c r="D114" i="9"/>
  <c r="D84" i="9"/>
  <c r="E84" i="9"/>
  <c r="F84" i="9"/>
  <c r="F30" i="9"/>
  <c r="D30" i="9"/>
  <c r="E30" i="9"/>
  <c r="E89" i="9"/>
  <c r="D89" i="9"/>
  <c r="F89" i="9"/>
  <c r="D27" i="9"/>
  <c r="F27" i="9"/>
  <c r="E27" i="9"/>
  <c r="E37" i="9"/>
  <c r="F37" i="9"/>
  <c r="D37" i="9"/>
  <c r="F49" i="9"/>
  <c r="D49" i="9"/>
  <c r="E49" i="9"/>
  <c r="D65" i="9"/>
  <c r="E65" i="9"/>
  <c r="F65" i="9"/>
  <c r="D53" i="9"/>
  <c r="E53" i="9"/>
  <c r="F53" i="9"/>
  <c r="F99" i="9"/>
  <c r="D99" i="9"/>
  <c r="E99" i="9"/>
  <c r="D35" i="9"/>
  <c r="F35" i="9"/>
  <c r="E35" i="9"/>
  <c r="D85" i="9"/>
  <c r="E85" i="9"/>
  <c r="F85" i="9"/>
  <c r="E63" i="9"/>
  <c r="F63" i="9"/>
  <c r="D63" i="9"/>
  <c r="F47" i="9"/>
  <c r="D47" i="9"/>
  <c r="E47" i="9"/>
  <c r="F55" i="9"/>
  <c r="D55" i="9"/>
  <c r="E55" i="9"/>
  <c r="F74" i="9"/>
  <c r="D74" i="9"/>
  <c r="E74" i="9"/>
  <c r="D38" i="9"/>
  <c r="E38" i="9"/>
  <c r="F38" i="9"/>
  <c r="E64" i="9"/>
  <c r="D64" i="9"/>
  <c r="F64" i="9"/>
  <c r="E50" i="9"/>
  <c r="F50" i="9"/>
  <c r="D50" i="9"/>
  <c r="F86" i="9"/>
  <c r="E86" i="9"/>
  <c r="D86" i="9"/>
  <c r="D36" i="9"/>
  <c r="E36" i="9"/>
  <c r="F36" i="9"/>
  <c r="D31" i="9"/>
  <c r="E31" i="9"/>
  <c r="F31" i="9"/>
  <c r="F121" i="9"/>
  <c r="D121" i="9"/>
  <c r="E121" i="9"/>
  <c r="D94" i="9"/>
  <c r="F94" i="9"/>
  <c r="E94" i="9"/>
  <c r="E90" i="9"/>
  <c r="F90" i="9"/>
  <c r="D90" i="9"/>
  <c r="F68" i="9"/>
  <c r="D68" i="9"/>
  <c r="E68" i="9"/>
  <c r="D17" i="9"/>
  <c r="E17" i="9"/>
  <c r="F17" i="9"/>
  <c r="E73" i="9"/>
  <c r="F73" i="9"/>
  <c r="D73" i="9"/>
  <c r="F32" i="9"/>
  <c r="E32" i="9"/>
  <c r="D32" i="9"/>
  <c r="E108" i="9"/>
  <c r="F108" i="9"/>
  <c r="D108" i="9"/>
  <c r="O33" i="7"/>
  <c r="O87" i="7"/>
  <c r="O21" i="7"/>
  <c r="O74" i="7"/>
  <c r="O36" i="7"/>
  <c r="O79" i="7"/>
  <c r="O52" i="7"/>
  <c r="O16" i="7"/>
  <c r="O25" i="7"/>
  <c r="O13" i="7"/>
  <c r="O83" i="7"/>
  <c r="O18" i="7"/>
  <c r="Y59" i="1" l="1"/>
  <c r="Y60" i="1" s="1"/>
  <c r="K91" i="9"/>
  <c r="N81" i="5"/>
  <c r="Y73" i="1"/>
  <c r="S41" i="8"/>
  <c r="I41" i="8" s="1"/>
  <c r="N77" i="5"/>
  <c r="D95" i="5"/>
  <c r="U27" i="1" s="1"/>
  <c r="S77" i="8"/>
  <c r="T77" i="8" s="1"/>
  <c r="S76" i="8"/>
  <c r="I76" i="8" s="1"/>
  <c r="S75" i="8"/>
  <c r="T75" i="8" s="1"/>
  <c r="Y28" i="1" s="1"/>
  <c r="L32" i="5"/>
  <c r="D11" i="6" s="1"/>
  <c r="L33" i="5"/>
  <c r="M33" i="5" s="1"/>
  <c r="E12" i="6" s="1"/>
  <c r="N78" i="5"/>
  <c r="K102" i="9"/>
  <c r="G70" i="5"/>
  <c r="D73" i="5" s="1"/>
  <c r="M53" i="1"/>
  <c r="M51" i="1"/>
  <c r="Q89" i="8"/>
  <c r="H80" i="5"/>
  <c r="C60" i="1"/>
  <c r="M65" i="5"/>
  <c r="N65" i="5" s="1"/>
  <c r="Q144" i="5"/>
  <c r="M109" i="5" s="1"/>
  <c r="H88" i="5"/>
  <c r="H94" i="5" s="1"/>
  <c r="H106" i="5" s="1"/>
  <c r="Q50" i="8"/>
  <c r="Q52" i="8" s="1"/>
  <c r="S52" i="8" s="1"/>
  <c r="I52" i="8" s="1"/>
  <c r="N52" i="5"/>
  <c r="N40" i="5"/>
  <c r="M62" i="5"/>
  <c r="N62" i="5" s="1"/>
  <c r="D18" i="6"/>
  <c r="N31" i="5"/>
  <c r="E10" i="6"/>
  <c r="L41" i="5"/>
  <c r="M41" i="5" s="1"/>
  <c r="E19" i="6" s="1"/>
  <c r="D10" i="6"/>
  <c r="M41" i="1"/>
  <c r="N63" i="5"/>
  <c r="AF73" i="1"/>
  <c r="N60" i="5"/>
  <c r="AF72" i="1"/>
  <c r="H87" i="5"/>
  <c r="Q140" i="5"/>
  <c r="I78" i="8"/>
  <c r="AE13" i="1"/>
  <c r="K23" i="9"/>
  <c r="T79" i="8"/>
  <c r="U29" i="1"/>
  <c r="AB70" i="1"/>
  <c r="I70" i="8"/>
  <c r="T70" i="8"/>
  <c r="C28" i="1" s="1"/>
  <c r="AE14" i="1"/>
  <c r="K24" i="9"/>
  <c r="C88" i="5"/>
  <c r="L43" i="5" s="1"/>
  <c r="C87" i="5"/>
  <c r="T71" i="8"/>
  <c r="I71" i="8"/>
  <c r="T74" i="8"/>
  <c r="I69" i="8"/>
  <c r="T69" i="8"/>
  <c r="C27" i="1" s="1"/>
  <c r="L40" i="1"/>
  <c r="M50" i="1"/>
  <c r="M44" i="1"/>
  <c r="M42" i="1"/>
  <c r="M48" i="1"/>
  <c r="M49" i="1"/>
  <c r="Q141" i="5"/>
  <c r="O141" i="5" s="1"/>
  <c r="H140" i="5" s="1"/>
  <c r="D44" i="6"/>
  <c r="AF100" i="1"/>
  <c r="AF102" i="1"/>
  <c r="N47" i="5"/>
  <c r="D27" i="6"/>
  <c r="R91" i="5"/>
  <c r="R85" i="5" s="1"/>
  <c r="D127" i="5" s="1"/>
  <c r="N56" i="5"/>
  <c r="K30" i="1"/>
  <c r="D84" i="1"/>
  <c r="S43" i="8"/>
  <c r="Q62" i="8"/>
  <c r="S62" i="8" s="1"/>
  <c r="Q67" i="8"/>
  <c r="S67" i="8" s="1"/>
  <c r="I67" i="8" s="1"/>
  <c r="AE43" i="1"/>
  <c r="D37" i="6"/>
  <c r="M61" i="5"/>
  <c r="E37" i="6" s="1"/>
  <c r="AE23" i="1"/>
  <c r="E44" i="6"/>
  <c r="N70" i="5"/>
  <c r="N69" i="5"/>
  <c r="D43" i="6"/>
  <c r="M69" i="5"/>
  <c r="E43" i="6" s="1"/>
  <c r="S40" i="8"/>
  <c r="T40" i="8" s="1"/>
  <c r="K74" i="9"/>
  <c r="U5" i="5"/>
  <c r="Q47" i="8"/>
  <c r="S47" i="8" s="1"/>
  <c r="I47" i="8" s="1"/>
  <c r="Q48" i="8"/>
  <c r="S48" i="8" s="1"/>
  <c r="S42" i="8"/>
  <c r="M54" i="5"/>
  <c r="E31" i="6" s="1"/>
  <c r="D31" i="6"/>
  <c r="Q61" i="8"/>
  <c r="D26" i="6"/>
  <c r="M49" i="5"/>
  <c r="E26" i="6" s="1"/>
  <c r="H142" i="5"/>
  <c r="D69" i="5"/>
  <c r="G9" i="5"/>
  <c r="E27" i="6"/>
  <c r="L43" i="1"/>
  <c r="N50" i="5"/>
  <c r="G66" i="9"/>
  <c r="H113" i="9"/>
  <c r="H38" i="9"/>
  <c r="H22" i="9"/>
  <c r="G122" i="9"/>
  <c r="G25" i="9"/>
  <c r="G21" i="9"/>
  <c r="H51" i="9"/>
  <c r="H84" i="9"/>
  <c r="H91" i="9"/>
  <c r="G67" i="9"/>
  <c r="G119" i="9"/>
  <c r="G48" i="9"/>
  <c r="G39" i="9"/>
  <c r="G54" i="9"/>
  <c r="G116" i="9"/>
  <c r="H70" i="9"/>
  <c r="H90" i="9"/>
  <c r="H53" i="9"/>
  <c r="G114" i="9"/>
  <c r="G55" i="9"/>
  <c r="H121" i="9"/>
  <c r="G92" i="9"/>
  <c r="G33" i="9"/>
  <c r="G28" i="9"/>
  <c r="G103" i="9"/>
  <c r="G102" i="9"/>
  <c r="H93" i="9"/>
  <c r="G105" i="9"/>
  <c r="G65" i="9"/>
  <c r="H34" i="9"/>
  <c r="G113" i="9"/>
  <c r="H44" i="9"/>
  <c r="G42" i="9"/>
  <c r="H66" i="9"/>
  <c r="H78" i="9"/>
  <c r="G75" i="9"/>
  <c r="H52" i="9"/>
  <c r="G121" i="9"/>
  <c r="G118" i="9"/>
  <c r="H119" i="9"/>
  <c r="H42" i="9"/>
  <c r="G96" i="9"/>
  <c r="H67" i="9"/>
  <c r="H104" i="9"/>
  <c r="H46" i="9"/>
  <c r="H21" i="9"/>
  <c r="H100" i="9"/>
  <c r="H20" i="9"/>
  <c r="H111" i="9"/>
  <c r="H31" i="9"/>
  <c r="H87" i="9"/>
  <c r="G81" i="9"/>
  <c r="G22" i="9"/>
  <c r="H40" i="9"/>
  <c r="G79" i="9"/>
  <c r="G83" i="9"/>
  <c r="G43" i="9"/>
  <c r="H82" i="9"/>
  <c r="H25" i="9"/>
  <c r="H23" i="9"/>
  <c r="G85" i="9"/>
  <c r="H29" i="9"/>
  <c r="G56" i="9"/>
  <c r="G58" i="9"/>
  <c r="H103" i="9"/>
  <c r="H41" i="9"/>
  <c r="G23" i="9"/>
  <c r="H33" i="9"/>
  <c r="H48" i="9"/>
  <c r="H57" i="9"/>
  <c r="H58" i="9"/>
  <c r="G84" i="9"/>
  <c r="G57" i="9"/>
  <c r="H17" i="9"/>
  <c r="G31" i="9"/>
  <c r="G46" i="9"/>
  <c r="G109" i="9"/>
  <c r="G100" i="9"/>
  <c r="H118" i="9"/>
  <c r="G87" i="9"/>
  <c r="H96" i="9"/>
  <c r="H108" i="9"/>
  <c r="H73" i="9"/>
  <c r="G17" i="9"/>
  <c r="G86" i="9"/>
  <c r="G64" i="9"/>
  <c r="G63" i="9"/>
  <c r="G35" i="9"/>
  <c r="G30" i="9"/>
  <c r="H114" i="9"/>
  <c r="G29" i="9"/>
  <c r="H54" i="9"/>
  <c r="H13" i="9"/>
  <c r="H88" i="9"/>
  <c r="H71" i="9"/>
  <c r="H116" i="9"/>
  <c r="H39" i="9"/>
  <c r="H30" i="9"/>
  <c r="G13" i="9"/>
  <c r="H107" i="9"/>
  <c r="G69" i="9"/>
  <c r="G68" i="9"/>
  <c r="H36" i="9"/>
  <c r="H50" i="9"/>
  <c r="H81" i="9"/>
  <c r="G115" i="9"/>
  <c r="G26" i="9"/>
  <c r="H45" i="9"/>
  <c r="G62" i="9"/>
  <c r="G82" i="9"/>
  <c r="H35" i="9"/>
  <c r="G32" i="9"/>
  <c r="H68" i="9"/>
  <c r="H99" i="9"/>
  <c r="G104" i="9"/>
  <c r="H115" i="9"/>
  <c r="G106" i="9"/>
  <c r="G80" i="9"/>
  <c r="G91" i="9"/>
  <c r="H19" i="9"/>
  <c r="H62" i="9"/>
  <c r="H56" i="9"/>
  <c r="H83" i="9"/>
  <c r="H102" i="9"/>
  <c r="G78" i="9"/>
  <c r="H105" i="9"/>
  <c r="H47" i="9"/>
  <c r="H65" i="9"/>
  <c r="H80" i="9"/>
  <c r="G88" i="9"/>
  <c r="G71" i="9"/>
  <c r="H112" i="9"/>
  <c r="H18" i="9"/>
  <c r="H86" i="9"/>
  <c r="H64" i="9"/>
  <c r="G72" i="9"/>
  <c r="H14" i="9"/>
  <c r="G51" i="9"/>
  <c r="G34" i="9"/>
  <c r="H109" i="9"/>
  <c r="G20" i="9"/>
  <c r="G94" i="9"/>
  <c r="H63" i="9"/>
  <c r="H37" i="9"/>
  <c r="H89" i="9"/>
  <c r="H106" i="9"/>
  <c r="H28" i="9"/>
  <c r="G111" i="9"/>
  <c r="G101" i="9"/>
  <c r="G11" i="9"/>
  <c r="H76" i="9"/>
  <c r="R88" i="8"/>
  <c r="H88" i="8" s="1"/>
  <c r="H32" i="9"/>
  <c r="H94" i="9"/>
  <c r="G37" i="9"/>
  <c r="G89" i="9"/>
  <c r="H72" i="9"/>
  <c r="G98" i="9"/>
  <c r="H43" i="9"/>
  <c r="G120" i="9"/>
  <c r="G45" i="9"/>
  <c r="H97" i="9"/>
  <c r="G36" i="9"/>
  <c r="H55" i="9"/>
  <c r="G99" i="9"/>
  <c r="G53" i="9"/>
  <c r="G49" i="9"/>
  <c r="H27" i="9"/>
  <c r="G52" i="9"/>
  <c r="G14" i="9"/>
  <c r="H60" i="9"/>
  <c r="H24" i="9"/>
  <c r="G40" i="9"/>
  <c r="H98" i="9"/>
  <c r="G41" i="9"/>
  <c r="G107" i="9"/>
  <c r="G50" i="9"/>
  <c r="H85" i="9"/>
  <c r="H49" i="9"/>
  <c r="G77" i="9"/>
  <c r="G60" i="9"/>
  <c r="G24" i="9"/>
  <c r="G110" i="9"/>
  <c r="H61" i="9"/>
  <c r="H59" i="9"/>
  <c r="G93" i="9"/>
  <c r="G44" i="9"/>
  <c r="G18" i="9"/>
  <c r="H16" i="9"/>
  <c r="G108" i="9"/>
  <c r="G73" i="9"/>
  <c r="G90" i="9"/>
  <c r="G74" i="9"/>
  <c r="H77" i="9"/>
  <c r="G117" i="9"/>
  <c r="H110" i="9"/>
  <c r="G61" i="9"/>
  <c r="G59" i="9"/>
  <c r="H122" i="9"/>
  <c r="G15" i="9"/>
  <c r="G112" i="9"/>
  <c r="H69" i="9"/>
  <c r="G95" i="9"/>
  <c r="G16" i="9"/>
  <c r="H74" i="9"/>
  <c r="H26" i="9"/>
  <c r="G19" i="9"/>
  <c r="H117" i="9"/>
  <c r="H101" i="9"/>
  <c r="H11" i="9"/>
  <c r="G76" i="9"/>
  <c r="H92" i="9"/>
  <c r="R87" i="8"/>
  <c r="H87" i="8" s="1"/>
  <c r="R91" i="8"/>
  <c r="H91" i="8" s="1"/>
  <c r="R90" i="8"/>
  <c r="H90" i="8" s="1"/>
  <c r="R86" i="8"/>
  <c r="H86" i="8" s="1"/>
  <c r="K115" i="9"/>
  <c r="P89" i="8"/>
  <c r="G27" i="9"/>
  <c r="G97" i="9"/>
  <c r="H79" i="9"/>
  <c r="H15" i="9"/>
  <c r="H120" i="9"/>
  <c r="H75" i="9"/>
  <c r="G70" i="9"/>
  <c r="H95" i="9"/>
  <c r="G38" i="9"/>
  <c r="G47" i="9"/>
  <c r="Y56" i="1" l="1"/>
  <c r="K94" i="9"/>
  <c r="N75" i="5"/>
  <c r="N83" i="5" s="1"/>
  <c r="D87" i="5" s="1"/>
  <c r="N17" i="1" s="1"/>
  <c r="K97" i="9"/>
  <c r="N76" i="5"/>
  <c r="M32" i="5"/>
  <c r="E11" i="6" s="1"/>
  <c r="T41" i="8"/>
  <c r="I75" i="8"/>
  <c r="Y27" i="1"/>
  <c r="Y25" i="1" s="1"/>
  <c r="I77" i="8"/>
  <c r="T76" i="8"/>
  <c r="D12" i="6"/>
  <c r="N33" i="5"/>
  <c r="AE49" i="1"/>
  <c r="AF49" i="1" s="1"/>
  <c r="S89" i="8"/>
  <c r="T89" i="8" s="1"/>
  <c r="E38" i="6"/>
  <c r="E40" i="6"/>
  <c r="Q68" i="8"/>
  <c r="S68" i="8" s="1"/>
  <c r="I68" i="8" s="1"/>
  <c r="Q51" i="8"/>
  <c r="S51" i="8" s="1"/>
  <c r="I51" i="8" s="1"/>
  <c r="Q53" i="8"/>
  <c r="S53" i="8" s="1"/>
  <c r="I53" i="8" s="1"/>
  <c r="Q63" i="8"/>
  <c r="S63" i="8" s="1"/>
  <c r="T63" i="8" s="1"/>
  <c r="H98" i="5"/>
  <c r="T52" i="8"/>
  <c r="S50" i="8"/>
  <c r="I50" i="8" s="1"/>
  <c r="N41" i="5"/>
  <c r="D19" i="6"/>
  <c r="H89" i="5"/>
  <c r="H90" i="5" s="1"/>
  <c r="M141" i="5"/>
  <c r="K73" i="9" s="1"/>
  <c r="J141" i="5"/>
  <c r="N141" i="5"/>
  <c r="L98" i="5"/>
  <c r="M43" i="5"/>
  <c r="D21" i="6"/>
  <c r="L42" i="5"/>
  <c r="C89" i="5"/>
  <c r="AF13" i="1"/>
  <c r="AF15" i="1"/>
  <c r="AE15" i="1"/>
  <c r="W21" i="1" s="1"/>
  <c r="N49" i="5"/>
  <c r="I62" i="8"/>
  <c r="T62" i="8"/>
  <c r="N68" i="5"/>
  <c r="I43" i="8"/>
  <c r="T43" i="8"/>
  <c r="N61" i="5"/>
  <c r="N54" i="5"/>
  <c r="Q116" i="5" a="1"/>
  <c r="Q116" i="5" s="1"/>
  <c r="K145" i="5"/>
  <c r="Q117" i="5" a="1"/>
  <c r="Q117" i="5" s="1"/>
  <c r="O96" i="1"/>
  <c r="Q115" i="5" a="1"/>
  <c r="Q115" i="5" s="1"/>
  <c r="P115" i="5" s="1"/>
  <c r="J143" i="5"/>
  <c r="J144" i="5"/>
  <c r="K144" i="5" s="1"/>
  <c r="L42" i="1"/>
  <c r="S61" i="8"/>
  <c r="Q65" i="8"/>
  <c r="S65" i="8" s="1"/>
  <c r="I65" i="8" s="1"/>
  <c r="I42" i="8"/>
  <c r="T42" i="8"/>
  <c r="I44" i="1"/>
  <c r="T43" i="1" s="1"/>
  <c r="Y88" i="1"/>
  <c r="T48" i="8"/>
  <c r="I48" i="8"/>
  <c r="K113" i="9"/>
  <c r="P87" i="8"/>
  <c r="S87" i="8" s="1"/>
  <c r="K112" i="9"/>
  <c r="P86" i="8"/>
  <c r="P88" i="8"/>
  <c r="K114" i="9"/>
  <c r="K116" i="9"/>
  <c r="P90" i="8"/>
  <c r="P91" i="8"/>
  <c r="K117" i="9"/>
  <c r="C90" i="5" l="1"/>
  <c r="D90" i="5" s="1"/>
  <c r="D91" i="5" s="1"/>
  <c r="AF136" i="1" s="1"/>
  <c r="N32" i="5"/>
  <c r="T68" i="8"/>
  <c r="I89" i="8"/>
  <c r="T51" i="8"/>
  <c r="T65" i="8"/>
  <c r="H110" i="5"/>
  <c r="I63" i="8"/>
  <c r="T53" i="8"/>
  <c r="T50" i="8"/>
  <c r="L44" i="5"/>
  <c r="M42" i="5"/>
  <c r="D20" i="6"/>
  <c r="L97" i="5"/>
  <c r="N43" i="5"/>
  <c r="E21" i="6"/>
  <c r="M98" i="5"/>
  <c r="AF14" i="1"/>
  <c r="M34" i="5" s="1"/>
  <c r="T67" i="8"/>
  <c r="T66" i="8"/>
  <c r="K116" i="5"/>
  <c r="D60" i="1" s="1"/>
  <c r="P116" i="5"/>
  <c r="I61" i="8"/>
  <c r="G10" i="5"/>
  <c r="L44" i="1"/>
  <c r="T42" i="1"/>
  <c r="X38" i="1"/>
  <c r="T48" i="1"/>
  <c r="T49" i="1"/>
  <c r="AE42" i="1"/>
  <c r="AE44" i="1" s="1"/>
  <c r="T41" i="1"/>
  <c r="H78" i="5"/>
  <c r="G42" i="1"/>
  <c r="G40" i="1"/>
  <c r="G41" i="1"/>
  <c r="G43" i="1"/>
  <c r="P117" i="5"/>
  <c r="N117" i="5"/>
  <c r="K117" i="5"/>
  <c r="D61" i="1" s="1"/>
  <c r="M117" i="5"/>
  <c r="L61" i="1" s="1"/>
  <c r="O117" i="5"/>
  <c r="D81" i="5"/>
  <c r="AF22" i="1" s="1"/>
  <c r="S88" i="8"/>
  <c r="D80" i="5"/>
  <c r="AF21" i="1" s="1"/>
  <c r="S91" i="8"/>
  <c r="AE36" i="1"/>
  <c r="AD37" i="1"/>
  <c r="AE37" i="1" s="1"/>
  <c r="I87" i="8"/>
  <c r="T87" i="8"/>
  <c r="S90" i="8"/>
  <c r="AF24" i="1"/>
  <c r="U67" i="1"/>
  <c r="S86" i="8"/>
  <c r="V67" i="1"/>
  <c r="C92" i="5" l="1"/>
  <c r="AF120" i="1" s="1"/>
  <c r="D92" i="5"/>
  <c r="E88" i="5" s="1"/>
  <c r="C91" i="5"/>
  <c r="AF118" i="1" s="1"/>
  <c r="AE118" i="1" s="1"/>
  <c r="AD128" i="1" s="1"/>
  <c r="E87" i="5"/>
  <c r="E13" i="6"/>
  <c r="N34" i="5"/>
  <c r="N42" i="5"/>
  <c r="M97" i="5"/>
  <c r="J100" i="5" s="1"/>
  <c r="E20" i="6"/>
  <c r="D22" i="6"/>
  <c r="L99" i="5"/>
  <c r="M44" i="5"/>
  <c r="C25" i="1"/>
  <c r="M88" i="5"/>
  <c r="AE136" i="1"/>
  <c r="AD146" i="1" s="1"/>
  <c r="D132" i="5"/>
  <c r="Q138" i="5"/>
  <c r="D125" i="5"/>
  <c r="D128" i="5" s="1"/>
  <c r="L51" i="5"/>
  <c r="K43" i="9"/>
  <c r="M51" i="5"/>
  <c r="E28" i="6" s="1"/>
  <c r="G44" i="1"/>
  <c r="D98" i="1"/>
  <c r="Q61" i="1"/>
  <c r="V61" i="1"/>
  <c r="S61" i="1"/>
  <c r="D97" i="1"/>
  <c r="AB60" i="1"/>
  <c r="S60" i="1"/>
  <c r="T59" i="8" s="1"/>
  <c r="U69" i="1"/>
  <c r="T86" i="8"/>
  <c r="S98" i="8"/>
  <c r="I86" i="8"/>
  <c r="I91" i="8"/>
  <c r="T91" i="8"/>
  <c r="Y69" i="1" s="1"/>
  <c r="AF23" i="1"/>
  <c r="U68" i="1" s="1"/>
  <c r="V68" i="1"/>
  <c r="I90" i="8"/>
  <c r="T90" i="8"/>
  <c r="T88" i="8"/>
  <c r="I88" i="8"/>
  <c r="L93" i="5" l="1"/>
  <c r="D93" i="5"/>
  <c r="AF140" i="1" s="1"/>
  <c r="AF138" i="1"/>
  <c r="AE138" i="1" s="1"/>
  <c r="AE146" i="1" s="1"/>
  <c r="AD145" i="1"/>
  <c r="C93" i="5"/>
  <c r="AF122" i="1" s="1"/>
  <c r="AF124" i="1" s="1"/>
  <c r="L92" i="5"/>
  <c r="AD127" i="1"/>
  <c r="D136" i="5"/>
  <c r="AE51" i="1" s="1"/>
  <c r="AF51" i="1" s="1"/>
  <c r="N44" i="5"/>
  <c r="E22" i="6"/>
  <c r="M99" i="5"/>
  <c r="AE120" i="1"/>
  <c r="G27" i="1"/>
  <c r="D28" i="6"/>
  <c r="V44" i="1"/>
  <c r="T40" i="1"/>
  <c r="N51" i="5"/>
  <c r="L71" i="5"/>
  <c r="M108" i="5"/>
  <c r="J139" i="5" s="1"/>
  <c r="O138" i="5"/>
  <c r="Y68" i="1"/>
  <c r="O50" i="5"/>
  <c r="O24" i="5" s="1"/>
  <c r="O25" i="5" s="1"/>
  <c r="O26" i="5" s="1"/>
  <c r="O27" i="5" s="1"/>
  <c r="O28" i="5" s="1"/>
  <c r="O29" i="5" s="1"/>
  <c r="O30" i="5" s="1"/>
  <c r="O31" i="5" s="1"/>
  <c r="O32" i="5" s="1"/>
  <c r="O33" i="5" s="1"/>
  <c r="O34" i="5" s="1"/>
  <c r="O35" i="5" s="1"/>
  <c r="O36" i="5" s="1"/>
  <c r="O37" i="5" s="1"/>
  <c r="O38" i="5" s="1"/>
  <c r="O39" i="5" s="1"/>
  <c r="O40" i="5" s="1"/>
  <c r="O41" i="5" s="1"/>
  <c r="O42" i="5" s="1"/>
  <c r="O43" i="5" s="1"/>
  <c r="O44" i="5" s="1"/>
  <c r="O45" i="5" s="1"/>
  <c r="O46" i="5" s="1"/>
  <c r="Y67" i="1"/>
  <c r="Y66" i="1"/>
  <c r="J67" i="1" s="1"/>
  <c r="E89" i="5" l="1"/>
  <c r="AE140" i="1"/>
  <c r="AF146" i="1" s="1"/>
  <c r="AF142" i="1"/>
  <c r="AD147" i="1" s="1"/>
  <c r="L31" i="1" s="1"/>
  <c r="M36" i="5"/>
  <c r="N36" i="5" s="1"/>
  <c r="AE122" i="1"/>
  <c r="AF128" i="1" s="1"/>
  <c r="M138" i="5"/>
  <c r="N138" i="5"/>
  <c r="G28" i="1"/>
  <c r="AE128" i="1"/>
  <c r="AE127" i="1"/>
  <c r="AD129" i="1"/>
  <c r="J31" i="1" s="1"/>
  <c r="AE124" i="1"/>
  <c r="M55" i="5"/>
  <c r="N55" i="5" s="1"/>
  <c r="J138" i="5"/>
  <c r="K138" i="5" s="1"/>
  <c r="AE145" i="1"/>
  <c r="Q112" i="5" a="1"/>
  <c r="Q112" i="5" s="1"/>
  <c r="M110" i="5"/>
  <c r="Q114" i="5" a="1"/>
  <c r="Q114" i="5" s="1"/>
  <c r="K141" i="5"/>
  <c r="J140" i="5"/>
  <c r="K140" i="5" s="1"/>
  <c r="Q113" i="5" a="1"/>
  <c r="Q113" i="5" s="1"/>
  <c r="O100" i="1"/>
  <c r="K139" i="5"/>
  <c r="D102" i="5"/>
  <c r="L87" i="5"/>
  <c r="G11" i="5"/>
  <c r="T44" i="1"/>
  <c r="O22" i="5"/>
  <c r="AE142" i="1" l="1"/>
  <c r="M92" i="5"/>
  <c r="E14" i="6"/>
  <c r="G29" i="1"/>
  <c r="AF127" i="1"/>
  <c r="AF145" i="1"/>
  <c r="M37" i="5"/>
  <c r="E15" i="6" s="1"/>
  <c r="M87" i="5"/>
  <c r="J89" i="5" s="1"/>
  <c r="E32" i="6"/>
  <c r="O139" i="5"/>
  <c r="H138" i="5" s="1"/>
  <c r="N139" i="5"/>
  <c r="M139" i="5"/>
  <c r="K71" i="9" s="1"/>
  <c r="T61" i="8"/>
  <c r="P114" i="5"/>
  <c r="M102" i="1" s="1"/>
  <c r="K114" i="5"/>
  <c r="P52" i="1" s="1"/>
  <c r="G12" i="5"/>
  <c r="E84" i="5"/>
  <c r="E85" i="5" s="1"/>
  <c r="E76" i="5" s="1"/>
  <c r="E75" i="5" s="1"/>
  <c r="K112" i="5"/>
  <c r="P50" i="1" s="1"/>
  <c r="P112" i="5"/>
  <c r="M100" i="1" s="1"/>
  <c r="K113" i="5"/>
  <c r="P51" i="1" s="1"/>
  <c r="P113" i="5"/>
  <c r="M101" i="1" s="1"/>
  <c r="M38" i="5" l="1"/>
  <c r="E16" i="6" s="1"/>
  <c r="M93" i="5"/>
  <c r="J95" i="5" s="1"/>
  <c r="J101" i="5" s="1"/>
  <c r="N37" i="5"/>
  <c r="D103" i="5"/>
  <c r="D101" i="1"/>
  <c r="D100" i="1"/>
  <c r="Y44" i="1"/>
  <c r="Y38" i="1"/>
  <c r="AB52" i="1"/>
  <c r="D102" i="1"/>
  <c r="M71" i="5" l="1"/>
  <c r="Q60" i="1" s="1"/>
  <c r="N38" i="5"/>
  <c r="V35" i="1"/>
  <c r="V69" i="1" s="1"/>
  <c r="D85" i="1" s="1"/>
  <c r="U76" i="1"/>
  <c r="V76" i="1"/>
  <c r="D104" i="5"/>
  <c r="D106" i="5" s="1"/>
  <c r="D74" i="1" s="1"/>
  <c r="M96" i="1" l="1"/>
  <c r="J98" i="1"/>
  <c r="D12" i="1"/>
  <c r="G33" i="5"/>
  <c r="N71" i="5"/>
  <c r="V62" i="1"/>
  <c r="G34" i="5"/>
  <c r="I48" i="1"/>
  <c r="L48" i="1" s="1"/>
  <c r="M97" i="1"/>
  <c r="M98" i="1"/>
  <c r="AB94" i="1"/>
  <c r="AB101" i="1" s="1"/>
  <c r="L98" i="1"/>
  <c r="AE10" i="1"/>
  <c r="G16" i="5"/>
  <c r="G45" i="5" s="1"/>
  <c r="V71" i="1"/>
  <c r="E78" i="5" s="1"/>
  <c r="G88" i="1"/>
  <c r="G14" i="5"/>
  <c r="G38" i="5" s="1"/>
  <c r="V77" i="1"/>
  <c r="D105" i="5" s="1"/>
  <c r="E105" i="5" s="1"/>
  <c r="U78" i="1" s="1"/>
  <c r="U77" i="1"/>
  <c r="G48" i="1" l="1"/>
  <c r="V85" i="1"/>
  <c r="G24" i="5" s="1"/>
  <c r="AB98" i="1"/>
  <c r="AB99" i="1"/>
  <c r="AB100" i="1"/>
  <c r="AB97" i="1"/>
  <c r="AB104" i="1"/>
  <c r="AB102" i="1"/>
  <c r="AB95" i="1"/>
  <c r="AB103" i="1"/>
  <c r="AB96" i="1"/>
  <c r="G17" i="5"/>
  <c r="G48" i="5" s="1"/>
  <c r="V78" i="1"/>
  <c r="AE109" i="1" s="1"/>
  <c r="AF109" i="1" s="1"/>
  <c r="H82" i="5" l="1"/>
  <c r="H81" i="5" s="1"/>
  <c r="D38" i="5" l="1"/>
  <c r="H83" i="5"/>
  <c r="H84" i="5" s="1"/>
  <c r="D39" i="5" s="1"/>
  <c r="H79" i="5"/>
  <c r="H85" i="5" l="1"/>
  <c r="H97" i="5" s="1"/>
  <c r="H109" i="5" s="1"/>
  <c r="H111" i="5" s="1"/>
  <c r="H86" i="5" l="1"/>
  <c r="H93" i="5"/>
  <c r="H95" i="5" s="1"/>
  <c r="H99" i="5"/>
  <c r="H105" i="5" l="1"/>
  <c r="H107" i="5" s="1"/>
  <c r="H101" i="5"/>
  <c r="H116" i="5" s="1"/>
  <c r="H102" i="5" l="1"/>
  <c r="AE50" i="1"/>
  <c r="AE54" i="1" s="1"/>
  <c r="M140" i="5"/>
  <c r="H117" i="5"/>
  <c r="O140" i="5" s="1"/>
  <c r="O113" i="5" s="1"/>
  <c r="L101" i="1" s="1"/>
  <c r="N140" i="5"/>
  <c r="N113" i="5" s="1"/>
  <c r="J101" i="1" s="1"/>
  <c r="H118" i="5"/>
  <c r="H130" i="5"/>
  <c r="H139" i="5" s="1"/>
  <c r="AF50" i="1" l="1"/>
  <c r="M114" i="5"/>
  <c r="V52" i="1" s="1"/>
  <c r="M113" i="5"/>
  <c r="V51" i="1" s="1"/>
  <c r="T51" i="1" s="1"/>
  <c r="T52" i="1"/>
  <c r="N112" i="5"/>
  <c r="J100" i="1" s="1"/>
  <c r="N114" i="5"/>
  <c r="J102" i="1" s="1"/>
  <c r="O112" i="5"/>
  <c r="L100" i="1" s="1"/>
  <c r="O114" i="5"/>
  <c r="L102" i="1" s="1"/>
  <c r="K72" i="9"/>
  <c r="M112" i="5" l="1"/>
  <c r="V50" i="1" s="1"/>
  <c r="V53" i="1" s="1"/>
  <c r="I49" i="1" s="1"/>
  <c r="V100" i="1"/>
  <c r="G13" i="5" l="1"/>
  <c r="D40" i="5" s="1"/>
  <c r="T50" i="1"/>
  <c r="G36" i="5"/>
  <c r="H113" i="5" s="1"/>
  <c r="T53" i="1"/>
  <c r="D44" i="5" l="1"/>
  <c r="G49" i="1"/>
  <c r="L49" i="1"/>
  <c r="D47" i="5" l="1"/>
  <c r="M143" i="5" l="1"/>
  <c r="K68" i="9" s="1"/>
  <c r="N143" i="5"/>
  <c r="O143" i="5" s="1"/>
  <c r="H136" i="5" s="1"/>
  <c r="H141" i="5" s="1"/>
  <c r="D46" i="5"/>
  <c r="D51" i="5"/>
  <c r="M115" i="5" l="1"/>
  <c r="H144" i="5"/>
  <c r="J134" i="5" s="1"/>
  <c r="AB105" i="1" s="1"/>
  <c r="H143" i="5"/>
  <c r="N115" i="5"/>
  <c r="J96" i="1" s="1"/>
  <c r="G46" i="5"/>
  <c r="G51" i="5"/>
  <c r="D48" i="5"/>
  <c r="H128" i="5"/>
  <c r="L63" i="1" s="1"/>
  <c r="L59" i="1" l="1"/>
  <c r="O115" i="5"/>
  <c r="L96" i="1" s="1"/>
  <c r="I51" i="1"/>
  <c r="V63" i="1"/>
  <c r="AE59" i="1" s="1"/>
  <c r="AE60" i="1" s="1"/>
  <c r="AE61" i="1" s="1"/>
  <c r="AF61" i="1" s="1"/>
  <c r="K67" i="9"/>
  <c r="V59" i="1" l="1"/>
  <c r="D55" i="5"/>
  <c r="AE32" i="1" s="1"/>
  <c r="G51" i="1"/>
  <c r="L51" i="1"/>
  <c r="H114" i="5" l="1"/>
  <c r="D62" i="5"/>
  <c r="G62" i="5" s="1"/>
  <c r="H119" i="5"/>
  <c r="H131" i="5" s="1"/>
  <c r="M144" i="5"/>
  <c r="M116" i="5" s="1"/>
  <c r="L60" i="1" s="1"/>
  <c r="G47" i="5"/>
  <c r="G49" i="5" s="1"/>
  <c r="G50" i="5" s="1"/>
  <c r="Q110" i="5" l="1"/>
  <c r="K69" i="9"/>
  <c r="H137" i="5"/>
  <c r="H132" i="5"/>
  <c r="AE30" i="1"/>
  <c r="G53" i="5"/>
  <c r="R5" i="5" s="1"/>
  <c r="G72" i="5"/>
  <c r="G74" i="5"/>
  <c r="H122" i="5"/>
  <c r="H120" i="5"/>
  <c r="H121" i="5"/>
  <c r="H124" i="5" s="1"/>
  <c r="N144" i="5"/>
  <c r="N116" i="5" s="1"/>
  <c r="J97" i="1" l="1"/>
  <c r="V96" i="1" s="1"/>
  <c r="K108" i="5"/>
  <c r="K143" i="5"/>
  <c r="K115" i="5" s="1"/>
  <c r="D59" i="1" s="1"/>
  <c r="D54" i="5"/>
  <c r="H126" i="5"/>
  <c r="H125" i="5"/>
  <c r="G73" i="5"/>
  <c r="T47" i="8"/>
  <c r="O144" i="5"/>
  <c r="O116" i="5" s="1"/>
  <c r="L97" i="1" s="1"/>
  <c r="H123" i="5"/>
  <c r="D61" i="5" l="1"/>
  <c r="G56" i="5"/>
  <c r="D96" i="1"/>
  <c r="J126" i="5"/>
  <c r="K110" i="5"/>
  <c r="K109" i="5"/>
  <c r="Y50" i="1"/>
  <c r="T98" i="8"/>
  <c r="O107" i="1" s="1"/>
  <c r="AE31" i="1" l="1"/>
  <c r="D50" i="5"/>
  <c r="AD10" i="1" s="1"/>
  <c r="Q109" i="5"/>
  <c r="H135" i="5"/>
  <c r="Q108" i="5"/>
  <c r="L108" i="1"/>
  <c r="L107" i="1"/>
  <c r="B64" i="5"/>
  <c r="G60" i="5" s="1"/>
  <c r="G61" i="5"/>
  <c r="D63" i="5"/>
  <c r="G63" i="5" s="1"/>
  <c r="D116" i="1" l="1"/>
  <c r="D135" i="1"/>
  <c r="AB111" i="1"/>
  <c r="O123" i="1"/>
  <c r="O125" i="1"/>
  <c r="D131" i="1"/>
  <c r="D129" i="1"/>
  <c r="D151" i="1"/>
  <c r="O147" i="1"/>
  <c r="S146" i="1"/>
  <c r="O145" i="1"/>
  <c r="O127" i="1"/>
  <c r="D127" i="1"/>
  <c r="D133" i="1"/>
  <c r="D149" i="1"/>
  <c r="O129" i="1"/>
  <c r="D121" i="1"/>
  <c r="U88" i="1"/>
  <c r="S152" i="1"/>
  <c r="O153" i="1"/>
  <c r="S145" i="1"/>
  <c r="D145" i="1"/>
  <c r="S123" i="1"/>
  <c r="S130" i="1"/>
  <c r="D125" i="1"/>
  <c r="D157" i="1"/>
  <c r="S133" i="1"/>
  <c r="W133" i="1" s="1"/>
  <c r="D114" i="1"/>
  <c r="J5" i="5"/>
  <c r="D123" i="1"/>
  <c r="S155" i="1"/>
  <c r="W155" i="1" s="1"/>
  <c r="S124" i="1"/>
  <c r="D143" i="1"/>
  <c r="D147" i="1"/>
  <c r="O151" i="1"/>
  <c r="D155" i="1"/>
  <c r="O131" i="1"/>
  <c r="D153" i="1"/>
  <c r="G64" i="5"/>
  <c r="L64" i="1"/>
  <c r="AE155" i="1"/>
  <c r="AF155" i="1" s="1"/>
  <c r="I50" i="1"/>
  <c r="I53" i="1" s="1"/>
  <c r="L53" i="1" s="1"/>
  <c r="V60" i="1"/>
  <c r="V64" i="1" s="1"/>
  <c r="V80" i="1" s="1"/>
  <c r="M88" i="1" s="1"/>
  <c r="V88" i="1" s="1"/>
  <c r="D91" i="1" s="1"/>
  <c r="AB118" i="1" l="1"/>
  <c r="AB156" i="1"/>
  <c r="AB141" i="1"/>
  <c r="AB113" i="1"/>
  <c r="AB124" i="1"/>
  <c r="AB153" i="1"/>
  <c r="AB116" i="1"/>
  <c r="AB150" i="1"/>
  <c r="AB128" i="1"/>
  <c r="AB146" i="1"/>
  <c r="AB149" i="1"/>
  <c r="AB140" i="1"/>
  <c r="AB126" i="1"/>
  <c r="AB139" i="1"/>
  <c r="AB151" i="1"/>
  <c r="AB142" i="1"/>
  <c r="AB127" i="1"/>
  <c r="AB121" i="1"/>
  <c r="AB148" i="1"/>
  <c r="AB157" i="1"/>
  <c r="AB147" i="1"/>
  <c r="AB114" i="1"/>
  <c r="AB137" i="1"/>
  <c r="AB120" i="1"/>
  <c r="AB129" i="1"/>
  <c r="AB154" i="1"/>
  <c r="AB132" i="1"/>
  <c r="AB119" i="1"/>
  <c r="AB138" i="1"/>
  <c r="AB158" i="1"/>
  <c r="AB131" i="1"/>
  <c r="AB145" i="1"/>
  <c r="AB133" i="1"/>
  <c r="AB112" i="1"/>
  <c r="AB144" i="1"/>
  <c r="AB152" i="1"/>
  <c r="AB130" i="1"/>
  <c r="AB115" i="1"/>
  <c r="AB117" i="1"/>
  <c r="AB136" i="1"/>
  <c r="AB134" i="1"/>
  <c r="AB143" i="1"/>
  <c r="AB135" i="1"/>
  <c r="AB122" i="1"/>
  <c r="AB125" i="1"/>
  <c r="AB155" i="1"/>
  <c r="AB123" i="1"/>
  <c r="AB91" i="1"/>
  <c r="J133" i="5"/>
  <c r="D104" i="1" s="1"/>
  <c r="O149" i="1"/>
  <c r="O155" i="1" s="1"/>
  <c r="O133" i="1"/>
  <c r="G50" i="1"/>
  <c r="G53" i="1" s="1"/>
  <c r="AE153" i="1"/>
  <c r="AF153" i="1" s="1"/>
  <c r="AE110" i="1"/>
  <c r="AF112" i="1"/>
  <c r="AE81" i="1"/>
  <c r="AE156" i="1"/>
  <c r="L50" i="1"/>
  <c r="R133" i="1" l="1"/>
  <c r="O135" i="1"/>
  <c r="D138" i="1" s="1"/>
  <c r="AB92" i="1"/>
  <c r="AB93" i="1"/>
  <c r="R155" i="1"/>
  <c r="O157" i="1"/>
  <c r="AE111" i="1"/>
  <c r="AF111" i="1" s="1"/>
  <c r="AF110" i="1"/>
  <c r="AE82" i="1"/>
  <c r="AF82" i="1" s="1"/>
  <c r="AF156" i="1"/>
  <c r="AE83" i="1" l="1"/>
  <c r="AF83" i="1" s="1"/>
  <c r="AF84" i="1" s="1"/>
  <c r="AE86" i="1" l="1"/>
  <c r="AF86" i="1" s="1"/>
  <c r="AE85" i="1"/>
  <c r="AF85" i="1" s="1"/>
  <c r="AF81" i="1"/>
  <c r="AE87" i="1"/>
  <c r="AF87" i="1" s="1"/>
  <c r="AE89" i="1" l="1"/>
  <c r="AF89" i="1" s="1"/>
  <c r="AF88" i="1"/>
</calcChain>
</file>

<file path=xl/comments1.xml><?xml version="1.0" encoding="utf-8"?>
<comments xmlns="http://schemas.openxmlformats.org/spreadsheetml/2006/main">
  <authors>
    <author>Marcel Prestel</author>
  </authors>
  <commentList>
    <comment ref="X11" authorId="0" shapeId="0">
      <text>
        <r>
          <rPr>
            <b/>
            <sz val="9"/>
            <color indexed="81"/>
            <rFont val="Segoe UI"/>
            <family val="2"/>
          </rPr>
          <t>Markieren Sie die zu fördernde Maßnahme auf Grundlage von Nr. 2.1 a-d der MietwohnungsbauförderungsR.</t>
        </r>
      </text>
    </comment>
    <comment ref="J22" authorId="0" shapeId="0">
      <text>
        <r>
          <rPr>
            <b/>
            <sz val="9"/>
            <color indexed="81"/>
            <rFont val="Arial"/>
            <family val="2"/>
          </rPr>
          <t>Mindeststandard gemäß Nummer 5.4.5 der Förderrichtlinie (MietwohnungsbauförderR).</t>
        </r>
      </text>
    </comment>
  </commentList>
</comments>
</file>

<file path=xl/comments2.xml><?xml version="1.0" encoding="utf-8"?>
<comments xmlns="http://schemas.openxmlformats.org/spreadsheetml/2006/main">
  <authors>
    <author>Marcel Prestel</author>
  </authors>
  <commentList>
    <comment ref="Q39" authorId="0" shapeId="0">
      <text>
        <r>
          <rPr>
            <sz val="9"/>
            <color indexed="81"/>
            <rFont val="Segoe UI"/>
            <family val="2"/>
          </rPr>
          <t>Prüfung, ob Kennzahl auf Basis der Antragsdaten tatsächlich relevant ist.</t>
        </r>
      </text>
    </comment>
    <comment ref="R39" authorId="0" shapeId="0">
      <text>
        <r>
          <rPr>
            <sz val="9"/>
            <color indexed="81"/>
            <rFont val="Segoe UI"/>
            <family val="2"/>
          </rPr>
          <t>Wert der Kennzahl, wie sich dieser aus der ausgewählten Richtlinie ergibt.</t>
        </r>
      </text>
    </comment>
    <comment ref="S39" authorId="0" shapeId="0">
      <text>
        <r>
          <rPr>
            <sz val="9"/>
            <color indexed="81"/>
            <rFont val="Segoe UI"/>
            <family val="2"/>
          </rPr>
          <t>Prüfung, ob der ggf. manuell hinterlegte Wert von der Vorgabe gemäß Richtlinie abweicht.</t>
        </r>
      </text>
    </comment>
    <comment ref="T39" authorId="0" shapeId="0">
      <text>
        <r>
          <rPr>
            <sz val="9"/>
            <color indexed="81"/>
            <rFont val="Segoe UI"/>
            <family val="2"/>
          </rPr>
          <t>Kennzeichen, ob für diese Kennzahl ein Hinweis auf Abweichung von der Richtlinie ausgegeben werden soll.</t>
        </r>
      </text>
    </comment>
    <comment ref="U39" authorId="0" shapeId="0">
      <text>
        <r>
          <rPr>
            <sz val="9"/>
            <color indexed="81"/>
            <rFont val="Segoe UI"/>
            <family val="2"/>
          </rPr>
          <t>Kennzeichen, ob diese Kennzahl in der einfachen Freischaltung durch den Mitarbeiter geändert werden kann.</t>
        </r>
      </text>
    </comment>
    <comment ref="P95" authorId="0" shapeId="0">
      <text>
        <r>
          <rPr>
            <b/>
            <sz val="9"/>
            <color indexed="81"/>
            <rFont val="Segoe UI"/>
            <family val="2"/>
          </rPr>
          <t>Excel-Standardwert</t>
        </r>
        <r>
          <rPr>
            <sz val="9"/>
            <color indexed="81"/>
            <rFont val="Segoe UI"/>
            <family val="2"/>
          </rPr>
          <t xml:space="preserve">
</t>
        </r>
      </text>
    </comment>
    <comment ref="P97" authorId="0" shapeId="0">
      <text>
        <r>
          <rPr>
            <b/>
            <sz val="9"/>
            <color indexed="81"/>
            <rFont val="Segoe UI"/>
            <family val="2"/>
          </rPr>
          <t>Excel-Standardwert</t>
        </r>
        <r>
          <rPr>
            <sz val="9"/>
            <color indexed="81"/>
            <rFont val="Segoe UI"/>
            <family val="2"/>
          </rPr>
          <t xml:space="preserve">
</t>
        </r>
      </text>
    </comment>
  </commentList>
</comments>
</file>

<file path=xl/comments3.xml><?xml version="1.0" encoding="utf-8"?>
<comments xmlns="http://schemas.openxmlformats.org/spreadsheetml/2006/main">
  <authors>
    <author>André Haase</author>
    <author>Marcel Prestel</author>
  </authors>
  <commentList>
    <comment ref="D46" authorId="0" shapeId="0">
      <text>
        <r>
          <rPr>
            <sz val="8"/>
            <color indexed="62"/>
            <rFont val="Tahoma"/>
            <family val="2"/>
          </rPr>
          <t xml:space="preserve">Zelle 04 für Zielwertermittlung
Varuable </t>
        </r>
        <r>
          <rPr>
            <b/>
            <sz val="8"/>
            <color indexed="62"/>
            <rFont val="Tahoma"/>
            <family val="2"/>
          </rPr>
          <t>strClsZielwert04</t>
        </r>
      </text>
    </comment>
    <comment ref="D47" authorId="0" shapeId="0">
      <text>
        <r>
          <rPr>
            <sz val="8"/>
            <color indexed="62"/>
            <rFont val="Tahoma"/>
            <family val="2"/>
          </rPr>
          <t xml:space="preserve">Zelle 05 für Zielwertermittlung
Variable </t>
        </r>
        <r>
          <rPr>
            <b/>
            <sz val="8"/>
            <color indexed="62"/>
            <rFont val="Tahoma"/>
            <family val="2"/>
          </rPr>
          <t>strClsZielwert05</t>
        </r>
      </text>
    </comment>
    <comment ref="D50" authorId="0" shapeId="0">
      <text>
        <r>
          <rPr>
            <sz val="8"/>
            <color indexed="62"/>
            <rFont val="Tahoma"/>
            <family val="2"/>
          </rPr>
          <t xml:space="preserve">Zelle 14 für Zielwertermittlung
Variable: </t>
        </r>
        <r>
          <rPr>
            <b/>
            <sz val="8"/>
            <color indexed="62"/>
            <rFont val="Tahoma"/>
            <family val="2"/>
          </rPr>
          <t>strClsZielwert14</t>
        </r>
      </text>
    </comment>
    <comment ref="G50" authorId="0" shapeId="0">
      <text>
        <r>
          <rPr>
            <sz val="8"/>
            <color indexed="62"/>
            <rFont val="Tahoma"/>
            <family val="2"/>
          </rPr>
          <t xml:space="preserve">Zelle 01 für Zielwertermittlung
Variable: </t>
        </r>
        <r>
          <rPr>
            <b/>
            <sz val="8"/>
            <color indexed="62"/>
            <rFont val="Tahoma"/>
            <family val="2"/>
          </rPr>
          <t>strClsZielwert01</t>
        </r>
      </text>
    </comment>
    <comment ref="G51" authorId="0" shapeId="0">
      <text>
        <r>
          <rPr>
            <sz val="8"/>
            <color indexed="62"/>
            <rFont val="Tahoma"/>
            <family val="2"/>
          </rPr>
          <t xml:space="preserve">Zelle 15 für Zielwertermittlung
Variable: </t>
        </r>
        <r>
          <rPr>
            <b/>
            <sz val="8"/>
            <color indexed="62"/>
            <rFont val="Tahoma"/>
            <family val="2"/>
          </rPr>
          <t>strClsZielwert15</t>
        </r>
      </text>
    </comment>
    <comment ref="D54" authorId="0" shapeId="0">
      <text>
        <r>
          <rPr>
            <sz val="8"/>
            <color indexed="62"/>
            <rFont val="Tahoma"/>
            <family val="2"/>
          </rPr>
          <t xml:space="preserve">Zelle 03 für Zielwertermittlung
Variable: </t>
        </r>
        <r>
          <rPr>
            <b/>
            <sz val="8"/>
            <color indexed="62"/>
            <rFont val="Tahoma"/>
            <family val="2"/>
          </rPr>
          <t>strClsZielwert03</t>
        </r>
      </text>
    </comment>
    <comment ref="D55" authorId="0" shapeId="0">
      <text>
        <r>
          <rPr>
            <sz val="8"/>
            <color indexed="62"/>
            <rFont val="Tahoma"/>
            <family val="2"/>
          </rPr>
          <t>Zelle 06 für Zielwertermittlung
Variable:</t>
        </r>
        <r>
          <rPr>
            <b/>
            <sz val="8"/>
            <color indexed="62"/>
            <rFont val="Tahoma"/>
            <family val="2"/>
          </rPr>
          <t xml:space="preserve"> strClsZielwert06</t>
        </r>
      </text>
    </comment>
    <comment ref="D56" authorId="0" shapeId="0">
      <text>
        <r>
          <rPr>
            <sz val="8"/>
            <color indexed="62"/>
            <rFont val="Tahoma"/>
            <family val="2"/>
          </rPr>
          <t xml:space="preserve">Zelle 02 für Zielwertermittlung
Variable: </t>
        </r>
        <r>
          <rPr>
            <b/>
            <sz val="8"/>
            <color indexed="62"/>
            <rFont val="Tahoma"/>
            <family val="2"/>
          </rPr>
          <t>strClsZielwert02</t>
        </r>
      </text>
    </comment>
    <comment ref="O62" authorId="1" shapeId="0">
      <text>
        <r>
          <rPr>
            <b/>
            <sz val="9"/>
            <color indexed="81"/>
            <rFont val="Segoe UI"/>
            <family val="2"/>
          </rPr>
          <t>Umnutzung / Wiederherstellung</t>
        </r>
      </text>
    </comment>
    <comment ref="O64" authorId="1" shapeId="0">
      <text>
        <r>
          <rPr>
            <b/>
            <sz val="9"/>
            <color indexed="81"/>
            <rFont val="Segoe UI"/>
            <family val="2"/>
          </rPr>
          <t>Mod / Inst</t>
        </r>
        <r>
          <rPr>
            <sz val="9"/>
            <color indexed="81"/>
            <rFont val="Segoe UI"/>
            <family val="2"/>
          </rPr>
          <t xml:space="preserve">
</t>
        </r>
      </text>
    </comment>
    <comment ref="O66" authorId="1" shapeId="0">
      <text>
        <r>
          <rPr>
            <b/>
            <sz val="9"/>
            <color indexed="81"/>
            <rFont val="Segoe UI"/>
            <family val="2"/>
          </rPr>
          <t>Solo - Aufzüge</t>
        </r>
        <r>
          <rPr>
            <sz val="9"/>
            <color indexed="81"/>
            <rFont val="Segoe UI"/>
            <family val="2"/>
          </rPr>
          <t xml:space="preserve">
</t>
        </r>
      </text>
    </comment>
    <comment ref="G70" authorId="0" shapeId="0">
      <text>
        <r>
          <rPr>
            <sz val="8"/>
            <color indexed="62"/>
            <rFont val="Tahoma"/>
            <family val="2"/>
          </rPr>
          <t xml:space="preserve">Zelle 07 für Zielwertermittlung
Variable: </t>
        </r>
        <r>
          <rPr>
            <b/>
            <sz val="8"/>
            <color indexed="62"/>
            <rFont val="Tahoma"/>
            <family val="2"/>
          </rPr>
          <t>strClsZielwert07</t>
        </r>
      </text>
    </comment>
    <comment ref="G72" authorId="0" shapeId="0">
      <text>
        <r>
          <rPr>
            <sz val="8"/>
            <color indexed="62"/>
            <rFont val="Tahoma"/>
            <family val="2"/>
          </rPr>
          <t xml:space="preserve">Zelle 08 für Zielwertermittlung
Variable: </t>
        </r>
        <r>
          <rPr>
            <b/>
            <sz val="8"/>
            <color indexed="62"/>
            <rFont val="Tahoma"/>
            <family val="2"/>
          </rPr>
          <t>strClsZielwert08</t>
        </r>
      </text>
    </comment>
    <comment ref="D73" authorId="0" shapeId="0">
      <text>
        <r>
          <rPr>
            <sz val="8"/>
            <color indexed="62"/>
            <rFont val="Tahoma"/>
            <family val="2"/>
          </rPr>
          <t xml:space="preserve">Zelle 10 für Zielwertermittlung
Variable: </t>
        </r>
        <r>
          <rPr>
            <b/>
            <sz val="8"/>
            <color indexed="62"/>
            <rFont val="Tahoma"/>
            <family val="2"/>
          </rPr>
          <t>strClsZielwert10</t>
        </r>
      </text>
    </comment>
    <comment ref="G73" authorId="0" shapeId="0">
      <text>
        <r>
          <rPr>
            <sz val="8"/>
            <color indexed="62"/>
            <rFont val="Tahoma"/>
            <family val="2"/>
          </rPr>
          <t xml:space="preserve">Zelle 09 für Zielwertermittlung
Variable: </t>
        </r>
        <r>
          <rPr>
            <b/>
            <sz val="8"/>
            <color indexed="62"/>
            <rFont val="Tahoma"/>
            <family val="2"/>
          </rPr>
          <t>strClsZielwert09</t>
        </r>
      </text>
    </comment>
  </commentList>
</comments>
</file>

<file path=xl/sharedStrings.xml><?xml version="1.0" encoding="utf-8"?>
<sst xmlns="http://schemas.openxmlformats.org/spreadsheetml/2006/main" count="1422" uniqueCount="854">
  <si>
    <t>Gesamtwohnfläche</t>
  </si>
  <si>
    <t>Objektanschrift</t>
  </si>
  <si>
    <t>Eigenkapital</t>
  </si>
  <si>
    <t>Wert des Baugrundstücks</t>
  </si>
  <si>
    <t>Anzahl der Wohneinheiten (WE)</t>
  </si>
  <si>
    <t>Ergebnis</t>
  </si>
  <si>
    <t>Angaben</t>
  </si>
  <si>
    <t>Soll</t>
  </si>
  <si>
    <t>Ist</t>
  </si>
  <si>
    <t>Ergebnis / Vergleich</t>
  </si>
  <si>
    <t>Grundstücksgröße</t>
  </si>
  <si>
    <t>Selbsthilfe</t>
  </si>
  <si>
    <t>Darlehenshöhe</t>
  </si>
  <si>
    <t>Zinssatz</t>
  </si>
  <si>
    <t>Tilgungssatz</t>
  </si>
  <si>
    <t>Förderdarlehen</t>
  </si>
  <si>
    <t>Kosten / Finanzierung</t>
  </si>
  <si>
    <t>Eigenleistungen</t>
  </si>
  <si>
    <t>Neubau ohne Zuschuss</t>
  </si>
  <si>
    <t>Neubau mit Zuschuss</t>
  </si>
  <si>
    <t>Darlehen / laufende Aufwendungen</t>
  </si>
  <si>
    <t>Art der Maßnahme</t>
  </si>
  <si>
    <t>Grunddaten</t>
  </si>
  <si>
    <t>Verwaltungskosten</t>
  </si>
  <si>
    <t>MAW</t>
  </si>
  <si>
    <t>Kunde / Objekt</t>
  </si>
  <si>
    <t>Neubau</t>
  </si>
  <si>
    <t>Zuschüsse</t>
  </si>
  <si>
    <t>Gesamtkosten (IST)</t>
  </si>
  <si>
    <t>Summe Finanzierung</t>
  </si>
  <si>
    <t>Max. Miete für 1. EK-Grenze</t>
  </si>
  <si>
    <t>Max. Miete für 2. EK-Grenze</t>
  </si>
  <si>
    <t>Finanzierung</t>
  </si>
  <si>
    <t>Aufteilung der Wohneinheiten / Einnahmen</t>
  </si>
  <si>
    <t>Höchstförderung Darlehen bei ModInst</t>
  </si>
  <si>
    <t>Höchstförderung Darlehen bei Neubau, Umnutzung ohne Zuschuss</t>
  </si>
  <si>
    <t>Höchstförderung Darlehen bei Neubau, Umnutzung mit Zuschuss</t>
  </si>
  <si>
    <t>Sonstige Einnahmen</t>
  </si>
  <si>
    <t>Bewirtschaftungskosten</t>
  </si>
  <si>
    <t>Bindungsquoten</t>
  </si>
  <si>
    <t>Höchstmieten</t>
  </si>
  <si>
    <t>EK-Verzinsung</t>
  </si>
  <si>
    <t>Datum / Unterschrift</t>
  </si>
  <si>
    <t>Wohnfläche</t>
  </si>
  <si>
    <t>Einnahmen/Ausgaben</t>
  </si>
  <si>
    <t>Kosten aus EL</t>
  </si>
  <si>
    <t>Kosten aus Zuschüssen</t>
  </si>
  <si>
    <t>Bewirtschaftung</t>
  </si>
  <si>
    <t>KoFi</t>
  </si>
  <si>
    <t>Förderung pro m² (veränderbar)</t>
  </si>
  <si>
    <t>Aufzug vorhanden</t>
  </si>
  <si>
    <t>Testversion gültig bis:</t>
  </si>
  <si>
    <t>ModInst ohne Zuschuss</t>
  </si>
  <si>
    <t>Art der Maßnahme (Verknüpfungen sind unter "LinkedCell" in VBA deklariert)</t>
  </si>
  <si>
    <t>Nebenrechnungen zur Ermittlung Förderhöhe</t>
  </si>
  <si>
    <t>davon Mindestanzahl 1</t>
  </si>
  <si>
    <t>davon Mindestanzahl 2</t>
  </si>
  <si>
    <t>Werte für Berechnung</t>
  </si>
  <si>
    <t>Mindesteigenleistung abhängig vom Vorhaben</t>
  </si>
  <si>
    <t>Förderhöhe abhängig vom Vorhaben</t>
  </si>
  <si>
    <t>Max. Höhe Förderdarlehen</t>
  </si>
  <si>
    <t>Max. Höhe Zuschuss</t>
  </si>
  <si>
    <t>Bindungsquoten abhängig vom Vorhaben</t>
  </si>
  <si>
    <t>Höchstmieten abhängig vom Vorhaben</t>
  </si>
  <si>
    <t>Max. Miete 1. EK-Grenze</t>
  </si>
  <si>
    <t>Max. Miete 2. EK-Grenze</t>
  </si>
  <si>
    <t>Mindesteigenleistung</t>
  </si>
  <si>
    <t>davon 1. EK-Grenze (Minimum)</t>
  </si>
  <si>
    <t>davon 2. EK-Grenze (Rest - anhängig von Bindungen in 1. EK-Grenze)</t>
  </si>
  <si>
    <t>Mindest-Bindungsquote</t>
  </si>
  <si>
    <t>Konditionen Förderdarlehen</t>
  </si>
  <si>
    <t>Tilgungssatz Förderdarlehen</t>
  </si>
  <si>
    <t>Zinssatz bzw. LVKB Förderdarlehen</t>
  </si>
  <si>
    <t>Konditionen</t>
  </si>
  <si>
    <t>Max. Überschuss</t>
  </si>
  <si>
    <t>Aufsplittung EL nach MEL für EK-Verzinsung</t>
  </si>
  <si>
    <t>Besetzungsrechte</t>
  </si>
  <si>
    <t>Aufstock. BW-Kosten</t>
  </si>
  <si>
    <t>Pauschalaufwand für Besetzungsrechte</t>
  </si>
  <si>
    <t>Sehr geehrte Kunden, sehr geehrte Interessenten,</t>
  </si>
  <si>
    <t>-</t>
  </si>
  <si>
    <t>Maßnahmen der Wiederherstellung, Erweiterung, Nutzungsänderung und Anpassung (Umnutzung)</t>
  </si>
  <si>
    <t>Benutzerhinweise:</t>
  </si>
  <si>
    <t>Nehmen Sie möglichst realistische Eintragungen vor. Um so genauer wird das Ergebnis sein.</t>
  </si>
  <si>
    <t>Bei diesem Förderrechner handelt es sich um eine Berechnungshilfe. Das Ergebnis ist nicht verbindlich.</t>
  </si>
  <si>
    <t>Hier erhalten sie auch weitere Hilfe beim Umgang mit dem Förderrechner.</t>
  </si>
  <si>
    <t>Bitte setzen sie sich zur Antragstellung mit den zuständigen Ansprechpartnern bei der ILB in Verbindung.</t>
  </si>
  <si>
    <t>fehlen oder nicht plausibel sein, wird Ihnen dies dadurch angezeigt, dass der Text vor den Eingabefeldern</t>
  </si>
  <si>
    <t>Miethöhe für WE 1. EK-Grenze</t>
  </si>
  <si>
    <t>Miethöhe für WE 2. EK-Grenze</t>
  </si>
  <si>
    <t>Miethöhe für WE nicht belegungsgebunden</t>
  </si>
  <si>
    <t>Objektwirtschaftlichkeit vor Maßnahmebeginn</t>
  </si>
  <si>
    <t>Kapitaldienst aus bereits bestehenden Finanzierungen</t>
  </si>
  <si>
    <t>bzw. unvollständige Eingaben erläutert werden.</t>
  </si>
  <si>
    <t>Zinssatz Restfinanzierung</t>
  </si>
  <si>
    <t>Tilgungssatz Restfinanzierung</t>
  </si>
  <si>
    <t>entspricht gesamt</t>
  </si>
  <si>
    <t>WE / m² für 2. EK-Grenze</t>
  </si>
  <si>
    <t>WE / m² für 1. EK-Grenze</t>
  </si>
  <si>
    <t>Aufteilung der WE / m²</t>
  </si>
  <si>
    <t>Summe WE und m² gesamt</t>
  </si>
  <si>
    <t>Tilgung</t>
  </si>
  <si>
    <t>Leztes Aktives Blatt:</t>
  </si>
  <si>
    <t>Arbeitsmappenschutz an:</t>
  </si>
  <si>
    <t>=&gt; Kapitaldienst</t>
  </si>
  <si>
    <t>Anzeige Erläuterungen wegen Kürzung BD bei ModInst</t>
  </si>
  <si>
    <t>Werte für Zielwertermittlung (alle doppelt umrahmten Felder - auch die oberhalb)</t>
  </si>
  <si>
    <t>=&gt; Kapitaldienst p. a.</t>
  </si>
  <si>
    <t>Berechnung durchführen</t>
  </si>
  <si>
    <t>Richtlinenkonformität in allen Punkten</t>
  </si>
  <si>
    <t>ModInst</t>
  </si>
  <si>
    <t>Umnutzung mit Zuschuss</t>
  </si>
  <si>
    <t>Umnutzung ohne Zuschuss</t>
  </si>
  <si>
    <t>Maßnahmeart</t>
  </si>
  <si>
    <t>Max. Überdeckung (Neubau und Umnutzung)</t>
  </si>
  <si>
    <t>Annuität</t>
  </si>
  <si>
    <t>Konditionen Finanzierung</t>
  </si>
  <si>
    <t>Eigenkapitalverzinsung (gef. Whg.)</t>
  </si>
  <si>
    <t>Bewirtschaftungskosten (gef. Whg.)</t>
  </si>
  <si>
    <t>Kapitaldienst aus bereits bestehenden Finanzierungen (gef. Whg.)</t>
  </si>
  <si>
    <t>Einnahmen (geförderte Whg.)</t>
  </si>
  <si>
    <t>Zuschüsse (geförderte Whg.)</t>
  </si>
  <si>
    <t>Eigenleistungen (geförderte Whg.)</t>
  </si>
  <si>
    <t>Förderfähige Gesamtkosten (gef. Whg.)</t>
  </si>
  <si>
    <t>Maximalförderung pro m² Wohnfläche</t>
  </si>
  <si>
    <t>Gesamtwohnfläche der gef. Wohnungen</t>
  </si>
  <si>
    <t>Zusammenfassung der wesentlichen Daten für die Förderdarlehensberechnung (Zielwertsuche)</t>
  </si>
  <si>
    <t>Druckmodus</t>
  </si>
  <si>
    <t>Beschreibung</t>
  </si>
  <si>
    <t>Eingabefeld</t>
  </si>
  <si>
    <t>lfd. Nr.</t>
  </si>
  <si>
    <t>Checkliste für Hilfefunktion</t>
  </si>
  <si>
    <t>1. Weitere Finanzierung</t>
  </si>
  <si>
    <t>2. Weitere Finanzierung</t>
  </si>
  <si>
    <t>Freie Finanzierung Förderung</t>
  </si>
  <si>
    <t>Freie Finanzierung geförd. Whg.</t>
  </si>
  <si>
    <t>Name</t>
  </si>
  <si>
    <t>Kapitaldienst p. a.</t>
  </si>
  <si>
    <t>Bewirtschaftungskosten p. a.</t>
  </si>
  <si>
    <t>Eigenkapitalverzinsung p. a.</t>
  </si>
  <si>
    <t>Berechnung</t>
  </si>
  <si>
    <t>Mieteinnahmen</t>
  </si>
  <si>
    <r>
      <t xml:space="preserve">In der Berechnung finden Sie in der Überschriftenzeile auch eine Hilfefunktion </t>
    </r>
    <r>
      <rPr>
        <sz val="10"/>
        <color rgb="FFBE0F34"/>
        <rFont val="Arial"/>
        <family val="2"/>
      </rPr>
      <t>(</t>
    </r>
    <r>
      <rPr>
        <b/>
        <sz val="10"/>
        <color rgb="FFBE0F34"/>
        <rFont val="Arial"/>
        <family val="2"/>
      </rPr>
      <t>?</t>
    </r>
    <r>
      <rPr>
        <sz val="10"/>
        <color rgb="FFBE0F34"/>
        <rFont val="Arial"/>
        <family val="2"/>
      </rPr>
      <t>)</t>
    </r>
    <r>
      <rPr>
        <sz val="10"/>
        <color theme="1"/>
        <rFont val="Arial"/>
        <family val="2"/>
      </rPr>
      <t>, in der ggf. vorhandene Unplausibilitäten</t>
    </r>
  </si>
  <si>
    <t>Startseite</t>
  </si>
  <si>
    <t/>
  </si>
  <si>
    <t>Neuerstellung der Berechnung</t>
  </si>
  <si>
    <t>Änderungen</t>
  </si>
  <si>
    <t>geänderte Tabellen</t>
  </si>
  <si>
    <t>Nummer
Version</t>
  </si>
  <si>
    <t>Datum
Version</t>
  </si>
  <si>
    <t>Daten gesichert:</t>
  </si>
  <si>
    <t>Änderungen erfolgt?</t>
  </si>
  <si>
    <t>EK-Verzinsung auf darüber hinausgehende Eigenleistungen (Abstimmung mit MIL)</t>
  </si>
  <si>
    <t>der Mindesteigenleistungen</t>
  </si>
  <si>
    <t>EK-Verzinsung auf die ersten</t>
  </si>
  <si>
    <t>der Gesamtkosten</t>
  </si>
  <si>
    <t>Gemeinde gemäß 
Anlage 3 der RL</t>
  </si>
  <si>
    <t>Maximale Überdeckung p. a. (nur Neubau und Umnutzung)</t>
  </si>
  <si>
    <t>Prüfung auf Änderungen der Richtlinienkennzahlen</t>
  </si>
  <si>
    <t>Erhöhung bei Aufzug 
pro m² Wfl. p. a.</t>
  </si>
  <si>
    <t>Grunddaten MWB-Förderrechner</t>
  </si>
  <si>
    <t>16.01</t>
  </si>
  <si>
    <t>16.02</t>
  </si>
  <si>
    <t>Einführung Startseite mit Hinweisen für den Nutzer (zur Unterstützung Internetauftritt)</t>
  </si>
  <si>
    <t>Einführung Grunddatenseite</t>
  </si>
  <si>
    <t>16.03</t>
  </si>
  <si>
    <t>Aufteilung Belegungsbindung jetzt auch nach Wohnfläche</t>
  </si>
  <si>
    <t>16.04</t>
  </si>
  <si>
    <t>Erstellung Version fürs LBV</t>
  </si>
  <si>
    <t>16.05</t>
  </si>
  <si>
    <t>Anpassung Bewirtschaftungskosten ab 01.01.2017</t>
  </si>
  <si>
    <t>Notwendige Mittel zur Schließung der Gesamtfinanzierung</t>
  </si>
  <si>
    <t>Rechner-Version</t>
  </si>
  <si>
    <t>Intern</t>
  </si>
  <si>
    <t>Extern</t>
  </si>
  <si>
    <t>LBV</t>
  </si>
  <si>
    <t>VBA, Verschiedene</t>
  </si>
  <si>
    <t>Steuerung Anzeige Dialogfelder angepasst. Umstellung Berechung auf jährliche Daten. Abschaltung Solver. Ermittlung Förderhöhe mit Zielwertsuche. Alle errechneten Fördermittel (auch Zuschüsse) werden auf volle Hundert Euro aufgerundet. Berechnung für Vergleich OW vor und nach Maßnahme bei ModInst wurde angepasst.
Umsetzung der ersten Änderung der Richtlinie vom 08.03.2017 (Wegfall der Berechnungen bzgl. der Besetzungsrechte, Tilgung des Förderdarlehens nicht mehr starr auf 2 % festgelegt, sondern als Mindestilgung)</t>
  </si>
  <si>
    <t>Bereich</t>
  </si>
  <si>
    <t>17.01</t>
  </si>
  <si>
    <t>Summe Einnahmen p. a.</t>
  </si>
  <si>
    <t>Summe Ausgaben p. a.</t>
  </si>
  <si>
    <t>17.02</t>
  </si>
  <si>
    <t>Redaktionelle Anpassung Bezeichnung sonst. Einnahmen. Umstellung sonst. Einnahmen auf Jahressumme.</t>
  </si>
  <si>
    <t>17.03</t>
  </si>
  <si>
    <t>VBA</t>
  </si>
  <si>
    <t>Erweiterung Berechtigte für RL-Kennzahlen</t>
  </si>
  <si>
    <t>18.01</t>
  </si>
  <si>
    <t>Korrektur BWK (Instandhaltungskosten Garage)</t>
  </si>
  <si>
    <t>18.02</t>
  </si>
  <si>
    <t>Text Startseite</t>
  </si>
  <si>
    <t>Anzahl Garagen</t>
  </si>
  <si>
    <t>In Abhängigkeit von der Angabe bei der Aufteilung der Wohnungen KANN-Feld oder MUSS-Feld
1. Mieteinnahmen im Durchschnitt:
Hier ist die Miethöhe pro m² pro Monat für die Wohnungen der 2. Einkommensgrenze zu pflegen. Bitte beachten Sie die in blauer Schrift gehaltenen Hinweise zur maximal zulässigen Miete.
Nicht numerische oder negative Werte sind nicht zulässig.</t>
  </si>
  <si>
    <t>Grunddaten, Berechnung</t>
  </si>
  <si>
    <t>Anpassung der RL-Kennziffern an neue RL, Einbau Abfrage Anzahl Garagen</t>
  </si>
  <si>
    <t>Besetzungs-
rechte</t>
  </si>
  <si>
    <t>Richtlinenversionen</t>
  </si>
  <si>
    <t>18.03</t>
  </si>
  <si>
    <t>Alle Formeln aus dieser Seite herausgelöst und ins Sheet "Daten" geschrieben</t>
  </si>
  <si>
    <t>19.01</t>
  </si>
  <si>
    <t>Anpassung einer Abfrage an geänderte Formelhinterlegung</t>
  </si>
  <si>
    <t>19.02</t>
  </si>
  <si>
    <t>Verschiedene</t>
  </si>
  <si>
    <t>Entfernung von Referenzen zu Flüchtlingen als Voraussetzung für einen Zuschuss
Nutzung von Bildschirmfixierungen, um Kontrollelemente verfügbar zu halten</t>
  </si>
  <si>
    <t>19.03</t>
  </si>
  <si>
    <t>Modernisierung und Instandsetzung nach § 3 Absatz 6 BbgWoFG</t>
  </si>
  <si>
    <t>Mietwohnungsneubau gemäß § 3 Absatz 5 Nr. 1  BbgWoFG sowie</t>
  </si>
  <si>
    <t>gemäß § 3 Absatz 5 Nummer 2 - 4 BbgWoFG.</t>
  </si>
  <si>
    <t>Datum BWK</t>
  </si>
  <si>
    <t>Auswahl BWK</t>
  </si>
  <si>
    <t>Anpassung Bewirtschaftungskosten ab 01.012020
Anpassung von Richtlinienreferenzen an neue Richtlinie vom 10.10.2019
Einführung einer Auswahloption für den Ansatz der BWK (nur bei ILB interner Version)</t>
  </si>
  <si>
    <t>Aktuell gültig</t>
  </si>
  <si>
    <t>Tagesdatum</t>
  </si>
  <si>
    <t>19.04</t>
  </si>
  <si>
    <t>Abweichende Belegungsbindung:</t>
  </si>
  <si>
    <t>Abweichende Mietansätze:</t>
  </si>
  <si>
    <t>Abweichender Anteil der Eigenleistungen:</t>
  </si>
  <si>
    <t>Darlehen / Laufende Aufwendungen</t>
  </si>
  <si>
    <t>Korrektur von Rechtschreibfehlern
Korrektur von falscher Berechnung der BWK, wenn eine manuelle Auswahl des Stichtages erfolgte</t>
  </si>
  <si>
    <t>20.01</t>
  </si>
  <si>
    <t>Korrektur von bedingten Formatierungen wenn Mod/Inst ausgewählt wurde</t>
  </si>
  <si>
    <t>Zulässiger Zuschuss</t>
  </si>
  <si>
    <t>21.01</t>
  </si>
  <si>
    <t>Daten, VBA</t>
  </si>
  <si>
    <t>Zweitprüfung Höhe Zuschuss wenn Förderdarlehen = 0 und Überschuss &gt; Maximalbetrag
Anpassung Passwörter gemäß neuer Passwortrichtlinie</t>
  </si>
  <si>
    <t>Zuschuss für barrierefrei erreichbare Wohneinheiten</t>
  </si>
  <si>
    <t>Darlehen für barrierefrei erreichbare Wohneinheiten</t>
  </si>
  <si>
    <t>Zuschuss für NICHT barrierefrei erreichbare Wohneinheiten</t>
  </si>
  <si>
    <t>Darlehen für NICHT barrierefrei erreichbare Wohneinheiten</t>
  </si>
  <si>
    <t>Solo-Förderung Aufzugsanbau</t>
  </si>
  <si>
    <t>Umnutzung / Wiederherstellung</t>
  </si>
  <si>
    <t>Modernisierung / Instandsetzung</t>
  </si>
  <si>
    <t>Objektanschrift:</t>
  </si>
  <si>
    <t>Anzahl der Wohneinheiten (WE):</t>
  </si>
  <si>
    <t>Gesamtwohnfläche in m²:</t>
  </si>
  <si>
    <t>Grundstücksfläche in m²:</t>
  </si>
  <si>
    <t>Solo-Förderung Aufzüge</t>
  </si>
  <si>
    <t>Neubau sowie Umnutzung / Wiederherstellung</t>
  </si>
  <si>
    <t>Mod / Inst, wenn BV in übriger Gemeinde</t>
  </si>
  <si>
    <t>22.01</t>
  </si>
  <si>
    <t>Alle</t>
  </si>
  <si>
    <t>Mindesteigenleistungen Solo-Aufzug</t>
  </si>
  <si>
    <t>Mindesteigenleistungen Neubau / Umnutzung</t>
  </si>
  <si>
    <t>Mindesteigenleistungen Mod / Inst</t>
  </si>
  <si>
    <t>Förderfähige Kosten / WE</t>
  </si>
  <si>
    <t>Nichtförderf. Kosten / WE</t>
  </si>
  <si>
    <t>Gesamtkosten Maßnahme</t>
  </si>
  <si>
    <t>Nicht förderfähige Kosten</t>
  </si>
  <si>
    <t>Kosten Aufzug pro WE</t>
  </si>
  <si>
    <t>Anzahl WE mit Aufzug</t>
  </si>
  <si>
    <t>barrierefreie WE mit Aufzug</t>
  </si>
  <si>
    <t>Notwendiges Zusatzdarlehen</t>
  </si>
  <si>
    <t>Max. Gesamtkosten Aufzüge</t>
  </si>
  <si>
    <t>Zuschuss für mit Aufzug barrierefrei erreichbare Wohneinheiten</t>
  </si>
  <si>
    <t>Darlehen für mit Aufzug barrierefrei erreichbare Wohneinheiten</t>
  </si>
  <si>
    <t>Zuschuss für mit Aufzug NICHT barrierefrei erreichbare Wohneinheiten</t>
  </si>
  <si>
    <t>Darlehen für mit Aufzug NICHT barrierefrei erreichbare Wohneinheiten</t>
  </si>
  <si>
    <t>Höchstförderung Aufzug / WE</t>
  </si>
  <si>
    <t>Feldbeschreibungen:</t>
  </si>
  <si>
    <t>Felder mit fehlender Pflichteingabe:</t>
  </si>
  <si>
    <t>Optionale Felder ohne Eingabe:</t>
  </si>
  <si>
    <t>Anzahl Garagen / Carports:</t>
  </si>
  <si>
    <t>Darlehen gesamt:</t>
  </si>
  <si>
    <t>Kapitaldienst p. a.:</t>
  </si>
  <si>
    <t>Eigenleistungen:</t>
  </si>
  <si>
    <t>Berechnete und / oder gesperrte Felder:</t>
  </si>
  <si>
    <t>Felder, welche eine manuelle Eingabe zulassen, sind immer mit einem entsprechendem Rahmen versehen!</t>
  </si>
  <si>
    <t>Miethöhe / m² / Monat:</t>
  </si>
  <si>
    <t>Sonstige Einnahmen p. a.:</t>
  </si>
  <si>
    <t>WE / m² für 1. EK-Grenze:</t>
  </si>
  <si>
    <t>WE / m² für 2. EK-Grenze:</t>
  </si>
  <si>
    <t>WE / m² gesamt:</t>
  </si>
  <si>
    <t>Eigenkapital:</t>
  </si>
  <si>
    <t>Selbsthilfeleistungen:</t>
  </si>
  <si>
    <t>Eigenleistungen (Gesamt):</t>
  </si>
  <si>
    <t>Kosten (Gesamt):</t>
  </si>
  <si>
    <t>Zuschüsse (Gesamt):</t>
  </si>
  <si>
    <t>Zins / LVKB</t>
  </si>
  <si>
    <t>Objektwirtschaftlichkeit (Alt)</t>
  </si>
  <si>
    <t>Einnahmen p. a.:</t>
  </si>
  <si>
    <t>Ausgaben p. a.:</t>
  </si>
  <si>
    <t>… davon belegungsgebundene WE / m²:</t>
  </si>
  <si>
    <t>Finanzierung (Gesamt):</t>
  </si>
  <si>
    <t>MUSS-Feld
Bereich: "Kunde / Objekt"
Bitte geben Sie die Anschrift des Investitionsobjektes an.</t>
  </si>
  <si>
    <t>MUSS-Feld
Bereich: "Kunde / Objekt"
Bitte geben Sie die Gesamtanzahl der Wohneinheiten an für die die Investitionsmaßnahme durchgeführt werden soll.
Nicht numerische oder negative Werte sind nicht zulässig.</t>
  </si>
  <si>
    <t>MUSS-Feld
Bereich: "Kunde / Objekt"
Bitte geben Sie die kumulierte Gesamtwohnfläche aller Wohneinheiten an für die die Investitionsmaßnahme durchgeführt werden soll.
Nicht numerische oder negative Werte sind nicht zulässig.</t>
  </si>
  <si>
    <t>MUSS-Feld
Bereich: "Kunde / Objekt"
Bitte geben Sie die Grundstücksgröße des Investitionsobjektes an.</t>
  </si>
  <si>
    <t>MUSS-Feld
Bereich: "Kunde / Objekt"
Bitte geben Sie an, ob die Förderung zum (nachträglichen) An- oder Einbau eines Aufzuges in Anspruch genommen werden soll.</t>
  </si>
  <si>
    <t>MUSS-Feld
Bereich: "Aufteilung der Wohneinheiten / Einnahmen"
Hier sind Anzahl und Wohnflächen der für die 1. Einkommensgrenze vorgesehenen Wohnungen zu pflegen. Beachten Sie hierbei die in blauer Schrift gehaltenen Hinweise zu Mindestanzahl und Mindestwohnflächen, die für die jeweilige EK-Grenze erforderlich sind. Höhere Werte sind jederzeit möglich, sofern die Gesamtanzahl/Gesamtwohnflächen der im Bereich "Kunde / Objekt" angegebenen Wohnungen nicht überschritten werden.
Nicht numerische oder negative Werte sind nicht zulässig.</t>
  </si>
  <si>
    <t>MUSS-Feld oder KANN-Feld (abhängig von den Eingaben bei der 1. EK-Grenze)
Bereich: "Aufteilung der Wohneinheiten / Einnahmen"
Hier sind Anzahl und Wohnflächen der für die 2. Einkommensgrenze vorgesehenen Wohnungen zu pflegen. Beachten Sie hierbei die in blauer Schrift gehaltenen Hinweise zu Mindestanzahl und Mindestwohnflächen, die für die jeweilige EK-Grenze erforderlich sind. Höhere Werte sind jederzeit möglich, sofern die Gesamtanzahl/Gesamtwohnflächen der im Bereich "Kunde / Objekt" angegebenen Wohnungen nicht überschritten werden.
Nicht numerische oder negative Werte sind nicht zulässig.</t>
  </si>
  <si>
    <t>Bereich: "Aufteilung der Wohneinheiten / Einnahmen"
Die Summe der in diesem Bereich angegebenen WE und m² muss jeweils mit der Anzahl der WE bzw. der Gesamtwohnfläche übereinstimmen, die im Bereich ''Kunde / Objekt'' angegeben wurde. Bitte entsprechend korrigieren.</t>
  </si>
  <si>
    <t>MUSS-Feld
Bereich: "Aufteilung der Wohneinheiten / Einnahmen"
Hier ist die Miethöhe pro m² pro Monat für die Wohnungen der 1. Einkommensgrenze zu pflegen. Bitte beachten Sie die in blauer Schrift gehaltenen Hinweise zur maximal zulässigen Miete.
Nicht numerische oder negative Werte sind nicht zulässig.</t>
  </si>
  <si>
    <t>In Abhängigkeit von der Angabe bei der Aufteilung der Wohnungen KANN-Feld oder MUSS-Feld
Bereich: "Aufteilung der Wohneinheiten / Einnahmen"
Hier ist die Miethöhe pro m² pro Monat für die nicht belegungsgebundenen Wohnungen zu pflegen. Die Miethöhe frei eingebbar und richtet sich in der Regel nach der am Markt erzielbaren Miete.
Nicht numerische oder negative Werte sind nicht zulässig.</t>
  </si>
  <si>
    <t>KANN-Feld
Bereich: "Aufteilung der Wohneinheiten / Einnahmen"
Hier sind weitere jährliche Einnahmen (außer Mieteinnahmen) für die "Geförderten Wohnungen" zu pflegen.
Nicht numerische oder negative Werte sind nicht zulässig.</t>
  </si>
  <si>
    <t>KANN-Feld
Bereich: ''Kosten / Finanzierung''
Bitte überprüfen Sie Ihre Angaben bei den Grundstückskosten.
Nicht numerische oder negative Eingaben sind hier nicht zulässig.</t>
  </si>
  <si>
    <t>KANN-Feld
Bereich: ''Kosten / Finanzierung''
Bitte überprüfen Sie Ihre Angaben bei den Erwerbskosten.
Nicht numerische oder negative Eingaben sind hier nicht zulässig.</t>
  </si>
  <si>
    <t>KANN-Feld
Bereich: ''Kosten / Finanzierung''
Bitte überprüfen Sie Ihre Angaben bei den Baukosten.
Nicht numerische oder negative Eingaben sind hier nicht zulässig.</t>
  </si>
  <si>
    <t>KANN-Feld
Bereich: ''Kosten / Finanzierung''
Bitte überprüfen Sie Ihre Angaben bei den Baunebenkosten.
Nicht numerische oder negative Eingaben sind hier nicht zulässig.</t>
  </si>
  <si>
    <t>KANN-Feld
Bereich: ''Kosten / Finanzierung''
Bitte geben Sie die Höhe des in die Finanzierung einzubringenden Eigenkapitals hier ein. Beachten Sie hierbei die in blauer Schrift gehaltenen Hinweise zu den Mindesteigenleistungen. Sofern die Mindesteigenleistungen durch andere geeignete Mittel (z. B. ausreichender Wert des vorhandenen Baugrundstücks o. ä.) erfüllt werden, muss hier nicht zwingend eine Eingabe erfolgen. Entscheidend ist, dass die Mindesteigenleistungen insgesamt erbracht werden.
Nicht numerische oder negative Eingaben sind hier nicht zulässig.</t>
  </si>
  <si>
    <t>KANN-Feld
Bereich: ''Kosten / Finanzierung''
Bitte geben Sie die Höhe der in die Finanzierung einzubringenden Selbsthilfeleistungen hier ein. Beachten Sie hierbei die in blauer Schrift gehaltenen Hinweise zu den Mindesteigenleistungen. Sofern die Mindesteigenleistungen durch andere geeignete Mittel (z. B. ausreichende Höhe an Eigenkapital o. ä.) erfüllt werden, muss hier nicht zwingend eine Eingabe erfolgen. Entscheidend ist, dass die Mindesteigenleistungen insgesamt erbracht werden.
Nicht numerische oder negative Eingaben sind hier nicht zulässig.</t>
  </si>
  <si>
    <t>KANN-Feld
Bereich: ''Kosten / Finanzierung''
Bitte überprüfen Sie Ihre Angaben beim Wert vorh. Gebäudeteile.
Nicht numerische oder negative Eingaben sind hier nicht zulässig.</t>
  </si>
  <si>
    <t>KANN-Feld
Bereich: "Darlehen / laufende Aufwendungen"
Hier ist der Kapitaldienst einzutragen, der bereits existiert und nicht unmittelbar der hier beantragten Maßnahme zuzuordnen ist. Dies kann beispielsweise bei ModInst Maßnahmen der Fall sein, sofern bereits früher aufgenommene Finanzierungen noch existieren. Auch Belastungen aus Erbbauzinsen fallen hierunter.
Bitte beachten Sie, dass an dieser Stelle nicht der Zins- oder Tilgungssatz abgefrat wird, sondern der jährliche Betrag in EUR. Nicht numerische oder negative Werte sind nicht zulässig.</t>
  </si>
  <si>
    <t>MUSS-Feld
Bereich: "Darlehen/laufende Aufwendungen"
Bitte geben Sie an, ob sich im Förderobjekt mindestens ein Aufzug befindet oder nicht. Folgende Schreibweisen sind zulässig:
"Ja", "Nein".
Groß-/Kleinschreibung ist hierbei unerheblich. Alternativ können Sie auch den Wertepfeil rechts neben dem Eingabefeld benutzen und die entsprechende Angabe auswählen.
Diese Angabe hat Einfluss auf die Bewirtschaftungskosten und ist zwingend zu beantworten.</t>
  </si>
  <si>
    <t>MUSS-Feld
Bereich: ''Objektwirtschaftlichkeit alt''
Hier ist die ermittelte Objektwirtschaftlichkeit vor Maßnahmebeginn einzutragen. In der Regel wird zur Ermittlung der von der ILB zur Verfügung gestellte Vordruck "Modernisierung und Instandsetzung von Wohnraum Übersicht zu den Einnahmen und Belastungen zum Zeitpunkt der Antragstellung'' verwendet. Diese Angabe ist erforderlich, da sich die Objektwirtschaftlichkeit nach Förderung nicht besser darstellen darf, als zuvor.
Nicht numerische oder negative Eingaben sind hier nicht zulässig.</t>
  </si>
  <si>
    <t>Wert vorhandener Gebäudeteile</t>
  </si>
  <si>
    <t>Eigenleistungen (Gesamt)</t>
  </si>
  <si>
    <t>Mit gefördertem Aufzug erreichbare WE</t>
  </si>
  <si>
    <t>Objet- und Maßnahmeinformationen</t>
  </si>
  <si>
    <t>MUSS-Feld
Bereich: ''Darlehen / laufende Aufwendungen''
Dieser Fehler kann folgende Ursachen haben:
- Es wurde noch keine Eingabe vorgenommen.
- Die Eingabe liegt im falschen Format vor.
Die Höhe des Tilgungssatzes können Sie der Richtlinie entnehmen.
Nicht numerische oder negative Werte sind nicht zulässig.</t>
  </si>
  <si>
    <t>Bereich: ''Kosten / Finanzierung''
Dieser Fehler kann folgende Ursachen haben:
- Es wurden noch keine Eingaben bei den Eigenleistungen vorgenommen.
- Die Höhe der Eigenleistungen ist zu gering.
Bitte beachten Sie die in blauer Schrift gehaltenen Hinweise zu den Mindesteigenleistungen.</t>
  </si>
  <si>
    <t>Inanspruchnaahme Aufzugsförderung</t>
  </si>
  <si>
    <t>Davon durch Aufzug barrierefrei erreichbare WE</t>
  </si>
  <si>
    <t>Gewählte Version</t>
  </si>
  <si>
    <t>Zuschuss Bindung</t>
  </si>
  <si>
    <t>Auswahl von "Berechnungen"</t>
  </si>
  <si>
    <t>Start</t>
  </si>
  <si>
    <t>Ende</t>
  </si>
  <si>
    <t>Blatt</t>
  </si>
  <si>
    <t>Programmversionen</t>
  </si>
  <si>
    <t>Spalte</t>
  </si>
  <si>
    <t>MUSS-Feld
Bereich: "Art der Maßnahme"
Bitte wählen Sie aus, für welche Maßnahmeart Sie eine Förderberechnung furchführen wollen.</t>
  </si>
  <si>
    <t>MUSS-Feld
Bereich: "Kunde / Objekt"
Bitte geben Sie den Namen / Firmenbezeichnung des Investors an.</t>
  </si>
  <si>
    <t>MUSS-Feld
Bereich: "Kunde / Objekt"
Hier ist anzugeben, ob sich das Förderobjekt in einer Gemeinde gemäß der Anlage 3 der Richtlinie befindet oder nicht. Folgende Schreibweisen sind zulässig:
"Ja", "Nein".
Groß- / Kleinschreibung ist hierbei unerheblich. Alternativ können Sie auch den Wertepfeil rechts neben dem Eingabefeld benutzen und die entsprechende Angabe auswählen.
Diese Angabe hat Einfluss auf die zulässige Höchstmiete der belegungsgebundenen Wohnungen und ist zwingend zu beantworten.</t>
  </si>
  <si>
    <t>Gemeinde gemäß Anlage 3 der RL</t>
  </si>
  <si>
    <t>Sichtbarkeitsbereich für Ein- und Ausblendung von Zeilen</t>
  </si>
  <si>
    <t>Übrige Gemeinden</t>
  </si>
  <si>
    <t>Höchstförderung Zuschuss Verlängerung Belegungsbindung</t>
  </si>
  <si>
    <t>Mietobergrenzen</t>
  </si>
  <si>
    <t>1. EK</t>
  </si>
  <si>
    <t>2. EK</t>
  </si>
  <si>
    <t>Anlage 2</t>
  </si>
  <si>
    <t>Sonstige</t>
  </si>
  <si>
    <t>Über- / Unterdeckung</t>
  </si>
  <si>
    <t>Füllen Sie alle markierten Felder aus. Erst anschließend wird ein mögliches Förderdarlehen errechnet. Sollten Angaben</t>
  </si>
  <si>
    <t>bzw. in deren Bereich rot erscheint und / oder die Eingabezelle farblich hervorgehoben wird.</t>
  </si>
  <si>
    <t xml:space="preserve">Verwaltungs-
kosten pro 
Wohneinheit p. a. </t>
  </si>
  <si>
    <t xml:space="preserve">Verwaltungs-
kosten pro
Garage p. a. </t>
  </si>
  <si>
    <t>Mietausfallwagnis
(Wohnraum)</t>
  </si>
  <si>
    <t>Gültig ab</t>
  </si>
  <si>
    <t xml:space="preserve">Instandhaltungs-
kosten pro 
m² Wfl. p. a. </t>
  </si>
  <si>
    <t>Instandhaltungs-
kosten pro 
Garage p. a.</t>
  </si>
  <si>
    <t>… davon 1. EK-Grenze (Minimum)</t>
  </si>
  <si>
    <t>… davon 2. EK-Grenze (Rest - anhängig von Bindungen in 1. EK-Grenze)</t>
  </si>
  <si>
    <t>Bindungsquote</t>
  </si>
  <si>
    <t>Maximales Förderdarlehen (Aufzug)</t>
  </si>
  <si>
    <t>Maximales Förderdarlehen (Maßnahme)</t>
  </si>
  <si>
    <t>Nebenrechnung bei Kürzung Förderdarlehen Mod / Inst</t>
  </si>
  <si>
    <t>pro m²</t>
  </si>
  <si>
    <t>Deckungsbeitrag p. a. vor Maßnahmebeginn abzgl. BWK (Mod / Inst)</t>
  </si>
  <si>
    <t>Max. Förderung pro m²</t>
  </si>
  <si>
    <t>bestehender Kapitaldienst p. a.</t>
  </si>
  <si>
    <t># Zuschüsse:</t>
  </si>
  <si>
    <t># Darlehen:</t>
  </si>
  <si>
    <t>Höchstbeträge</t>
  </si>
  <si>
    <t>Mod / Inst</t>
  </si>
  <si>
    <t>Ohne Zuschuss</t>
  </si>
  <si>
    <t>Mit Zuschuss</t>
  </si>
  <si>
    <t>Feld mit erfolgter manueller Eingabe (Pflicht / Optional):</t>
  </si>
  <si>
    <t>Einstellungsmodus:</t>
  </si>
  <si>
    <t>Programmiermodus:</t>
  </si>
  <si>
    <t>Laufende Überwachung:</t>
  </si>
  <si>
    <t>Programmversionen: MWB-Förderrechner</t>
  </si>
  <si>
    <t>Förderbestandteil</t>
  </si>
  <si>
    <t>Max. Betrag</t>
  </si>
  <si>
    <t>… entspricht ≙</t>
  </si>
  <si>
    <t>Zeile</t>
  </si>
  <si>
    <t>Textbausteine I:</t>
  </si>
  <si>
    <t>Textbausteine II:</t>
  </si>
  <si>
    <r>
      <t>Sonstiger Zuschuss I</t>
    </r>
    <r>
      <rPr>
        <sz val="8"/>
        <color theme="1"/>
        <rFont val="Arial"/>
        <family val="2"/>
      </rPr>
      <t xml:space="preserve"> (bitte benennen)</t>
    </r>
    <r>
      <rPr>
        <sz val="10"/>
        <color theme="1"/>
        <rFont val="Arial"/>
        <family val="2"/>
        <scheme val="minor"/>
      </rPr>
      <t>:</t>
    </r>
  </si>
  <si>
    <r>
      <t>Sonstiger Zuschuss II</t>
    </r>
    <r>
      <rPr>
        <sz val="8"/>
        <color theme="1"/>
        <rFont val="Arial"/>
        <family val="2"/>
      </rPr>
      <t xml:space="preserve"> (bitte benennen)</t>
    </r>
    <r>
      <rPr>
        <sz val="10"/>
        <color theme="1"/>
        <rFont val="Arial"/>
        <family val="2"/>
        <scheme val="minor"/>
      </rPr>
      <t>:</t>
    </r>
  </si>
  <si>
    <r>
      <t xml:space="preserve">Sonstiges Darlehen </t>
    </r>
    <r>
      <rPr>
        <sz val="8"/>
        <rFont val="Arial"/>
        <family val="2"/>
      </rPr>
      <t>(bitte benennen)</t>
    </r>
    <r>
      <rPr>
        <sz val="10"/>
        <rFont val="Arial"/>
        <family val="2"/>
      </rPr>
      <t>:</t>
    </r>
  </si>
  <si>
    <t>Standardwerte:</t>
  </si>
  <si>
    <t>Vorgabe</t>
  </si>
  <si>
    <r>
      <t xml:space="preserve">Notwendige Restfinanzierung </t>
    </r>
    <r>
      <rPr>
        <sz val="8"/>
        <color rgb="FF0070C0"/>
        <rFont val="Arial"/>
        <family val="2"/>
      </rPr>
      <t>(Höhe wird automatisch berechnet)</t>
    </r>
    <r>
      <rPr>
        <sz val="10"/>
        <color theme="1"/>
        <rFont val="Arial"/>
        <family val="2"/>
        <scheme val="minor"/>
      </rPr>
      <t>:</t>
    </r>
  </si>
  <si>
    <t>Zuschuss Teil 1:</t>
  </si>
  <si>
    <t>Zuschuss Teil 2:</t>
  </si>
  <si>
    <t>Förderung pro WE</t>
  </si>
  <si>
    <t>Anzahl WE</t>
  </si>
  <si>
    <t>Zuschuss (Gesamt):</t>
  </si>
  <si>
    <t>Darlehen Teil 1:</t>
  </si>
  <si>
    <t>Darlehen (Gesamt):</t>
  </si>
  <si>
    <t>Zuschuss (pro WE):</t>
  </si>
  <si>
    <t>Darlehen (pro WE):</t>
  </si>
  <si>
    <t>Förderung (Gesamt):</t>
  </si>
  <si>
    <t>Barrierefrei erreichbare WE</t>
  </si>
  <si>
    <t>Sonstige erreichbare WE</t>
  </si>
  <si>
    <t>Berechnung Zuschuss</t>
  </si>
  <si>
    <t>Berechnung Darlehen</t>
  </si>
  <si>
    <t>Zusammenfassung</t>
  </si>
  <si>
    <t>Restfinanzierung</t>
  </si>
  <si>
    <t>Eigenkapitalanteil pro WE</t>
  </si>
  <si>
    <t>Eigenkapitalanteil (Gesamt)</t>
  </si>
  <si>
    <t>Summe alle WE</t>
  </si>
  <si>
    <t>Berechnung Förderung Aufzug</t>
  </si>
  <si>
    <t>MUSS-Feld
Bereich: "Darlehen / laufende Aufwendungen"
Bitte geben Sie den bereits bekannten bzw. angenommenen (marktüblichen) Zinssatz für die noch zu ermittelnde Freie Finanzierung der geförderten Wohnungen ein. Auch wenn aus heutiger Sicht bekannt sein sollte, dass eine Freie Finanzierung ggf. nicht erforderlich wird, müssen hier Konditionen eingegeben werden, da andernfalls eine Berechnung des Förderdarlehens nicht erfolgen kann.
Bitte achten Sie auch darauf, dass der Kapitaldienst der freien Finanzierung HÖHER sein muss, als der des Förderdarlehens.
Dies ist darin begründet, dass die Höhe des Förderdarlehens u. a. von der Objektwirtschaftlichkeit abhängig ist. Sollte diese zu hoch sein, muss das Förderdarlehen anteilig gekürzt und die notwendige Restfinanzierung erhöht werden, bis sich die Objektwirtschaftlichkeit soweit "verschlechtert", dass sich ein vorgegebener Wert ergibt. Sofern die Konditionen des Restdarlehens gleich oder besser sind, als die des Förderdarlehens, kann hier eine solche Berechnung nicht durchgeführt werden. In diesem Fall wird davon ausgegangen, dass sich das Vorhaben mit ausschließlich freien Mitteln besser trägt, als mit Förderdarlehen.
Nicht numerische oder negative Werte sind nicht zulässig.</t>
  </si>
  <si>
    <t>MUSS-Feld
Bereich: "Darlehen / laufende Aufwendungen"
Bitte geben Sie den bereits bekannten bzw. angenommenen (marktüblichen) Tilgungssatz für die noch zu ermittelnde Freie Finanzierung der geförderten Wohnungen ein. Auch wenn aus heutiger Sicht bekannt sein sollte, dass eine Freie Finanzierung ggf. nicht erforderlich wird, müssen hier Konditionen eingegeben werden, da andernfalls eine Berechnung des Förderdarlehens nicht erfolgen kann.
Bitte achten Sie auch darauf, dass der Kapitaldienst der freien Finanzierung HÖHER sein muss, als der des Förderdarlehens.
Dies ist darin begründet, dass die Höhe des Förderdarlehens u. a. von der Objektwirtschaftlichkeit abhängig ist. Sollte diese zu hoch sein, muss das Förderdarlehen anteilig gekürzt und die notwendige Restfinanzierung erhöht werden, bis sich die Objektwirtschaftlichkeit soweit "verschlechtert", dass sich ein vorgegebener Wert ergibt. Sofern die Konditionen des Restdarlehens gleich oder besser sind, als die des Förderdarlehens, kann hier eine solche Berechnung nicht durchgeführt werden. In diesem Fall wird davon ausgegangen, dass sich das Vorhaben mit ausschließlich freien Mitteln besser trägt, als mit Förderdarlehen.
Nicht numerische oder negative Werte sind nicht zulässig.</t>
  </si>
  <si>
    <t>Zuschuss (pro m²):</t>
  </si>
  <si>
    <t>Darlehen (pro m²):</t>
  </si>
  <si>
    <t>Wohnfläche mit Aufzug</t>
  </si>
  <si>
    <t>Ø Fläche / WE mit Aufzug</t>
  </si>
  <si>
    <t>Gesamtsummen (aufgerundet)</t>
  </si>
  <si>
    <t>Anzahl förderfähiger WE</t>
  </si>
  <si>
    <t>Max. Gesamtförderung pro m² Wohnfläche</t>
  </si>
  <si>
    <t>Ausnahme MIL:</t>
  </si>
  <si>
    <t>Hinweistexte:</t>
  </si>
  <si>
    <t>Anzahl WE:</t>
  </si>
  <si>
    <t>Wohnfläche:</t>
  </si>
  <si>
    <t>Ø Fläche / WE:</t>
  </si>
  <si>
    <t>Förderung (pro WE / alle):</t>
  </si>
  <si>
    <t>Förderung (pro m² / alle):</t>
  </si>
  <si>
    <t>Förderung (pro WE / Aufz.):</t>
  </si>
  <si>
    <t>Förderung (pro m² / Aufz.):</t>
  </si>
  <si>
    <t>Überförderung:</t>
  </si>
  <si>
    <t>Druckbereich:</t>
  </si>
  <si>
    <t>Seitenanzahl</t>
  </si>
  <si>
    <t>Wohnfläche WE</t>
  </si>
  <si>
    <t>Förderfähige Kosten</t>
  </si>
  <si>
    <t>Eigenleistungen mit Eigenkapitalverzinsung (gef. Whg.)</t>
  </si>
  <si>
    <t>Mitarbeiterfreigabe:</t>
  </si>
  <si>
    <t>Abweichung?</t>
  </si>
  <si>
    <t>Richtlinie</t>
  </si>
  <si>
    <t>Freigabe MA?</t>
  </si>
  <si>
    <t>Antrag</t>
  </si>
  <si>
    <t>Finanzierungsbestandteil</t>
  </si>
  <si>
    <t>Mietausfallwagnis pro Jahr</t>
  </si>
  <si>
    <t>Verwaltungskosten p. a.</t>
  </si>
  <si>
    <t>pro m² Wohnfläche</t>
  </si>
  <si>
    <t>pro Wohneinheit</t>
  </si>
  <si>
    <t>pro Garage / Carport</t>
  </si>
  <si>
    <t>pro m² Wohnfläche Zuschlag für Aufzug</t>
  </si>
  <si>
    <t>Instandhaltungskosten p. a.</t>
  </si>
  <si>
    <t>Zuschlag Aufzug pro m²</t>
  </si>
  <si>
    <t>Benutzerdefiniert</t>
  </si>
  <si>
    <t>Hinweis?</t>
  </si>
  <si>
    <t>Aufteilung der geförderten Wohneinheiten (WE) / Einnahmen</t>
  </si>
  <si>
    <t>Förderhöhen (Aufzug)</t>
  </si>
  <si>
    <t>Notwendiges Fremddarlehen</t>
  </si>
  <si>
    <t>Förderdarlehen (Maßnahme)</t>
  </si>
  <si>
    <t>Weitere Zuschüsse</t>
  </si>
  <si>
    <t>Zinssatz Sonstige vorgesehene Finanzierung</t>
  </si>
  <si>
    <t>Instandhaltungskosten</t>
  </si>
  <si>
    <t>Anpassungen für neue Richtlinie vom 17.03.2022 (insbesondere Aufnahme Aufzugsförderung)
Verbesserungen in Benutzerführung
Anpassungen von VBA-Modulen an IDV-Richtlinie
Korrekturen in der Berechnung des gekürzten Förderdarlehen bei Mod / Inst
Bereitstellung eines Dialoges zur Löschung / Bereinigung der Eingaben
Ausweis einer Durchschnittsmiete über alle Wohnflächen
Option, eine manuelle Basis für die Eigenkapitalverzinsung festzulegen
Die grundsätzlich möglichen Förderbeträge werden jetzt auch bei fehlender Objektwirtschaftlichkeit ausgewiesen
Option, ausgewählte Grunddaten ohne Passwort für eine manuelle Anpassung freigeben zu können</t>
  </si>
  <si>
    <t>Wählen Sie die zu fördernde Maßnahme auf Grundlage von Nr. 2.1 a - d der MietwohnungsbauförderR.</t>
  </si>
  <si>
    <t>Bitte aktivieren / erlauben Sie die Makros (entweder gleich beim Öffnen bzw. mittels Schalter "Inhalte aktivieren").</t>
  </si>
  <si>
    <t>22.02</t>
  </si>
  <si>
    <t>Korrektur der Berechnung, wenn sonstige Zuschüsse vorhanden sind
Anpassungen bei vollständiger Freigabe der Grunddaten
Möglichkeit, Förderbeträge ohne Einsatz von Eigenleistungen berechnen zu können</t>
  </si>
  <si>
    <t>22.03</t>
  </si>
  <si>
    <t>Entfernung der Fehlermeldung bei Aufruf des Dialogfeldes zur Mitarbeiterfreigabe der Grunddaten</t>
  </si>
  <si>
    <t>22.04</t>
  </si>
  <si>
    <t>Korrektur der Aufrundung der "Notwendigen Restfinanzierung" auf volle 100 EUR, sofern diese 0,00 EUR beträgt</t>
  </si>
  <si>
    <t>22.05</t>
  </si>
  <si>
    <t>Anzahl Iterationen</t>
  </si>
  <si>
    <t>Genauigkeit</t>
  </si>
  <si>
    <t>Zielwertberechnung des Baudarlehens (Maßnahme)</t>
  </si>
  <si>
    <t>Anzahl maximaler Durchläufe (Iterationen) für die Zielwertberechnung</t>
  </si>
  <si>
    <t>Berechnungsgenauigkeit der Zielwertberechnung</t>
  </si>
  <si>
    <t>&lt;= Zielwertsuche</t>
  </si>
  <si>
    <t xml:space="preserve"> &lt;= Zielwertsuche</t>
  </si>
  <si>
    <t>Förderrechner - Erläuterungen</t>
  </si>
  <si>
    <t>Erläuterungen</t>
  </si>
  <si>
    <t>Anzahl Erhöhungen</t>
  </si>
  <si>
    <t>Antragsnummer:</t>
  </si>
  <si>
    <t>Ergebnisproblem?</t>
  </si>
  <si>
    <t>Dateiname:</t>
  </si>
  <si>
    <t>… entspricht Ø Eigenkapitalverzinsung p. a.:</t>
  </si>
  <si>
    <t>Bewirtschaftungskosten p. a.:</t>
  </si>
  <si>
    <t>Gesamtanteil:</t>
  </si>
  <si>
    <t>Prüfung Länge Zielwert (&lt; 16)</t>
  </si>
  <si>
    <t>Prüfung negative Förderung</t>
  </si>
  <si>
    <t>Prüfung max. Überschuss</t>
  </si>
  <si>
    <t>Sprung zum Reiter "Programmversionen"</t>
  </si>
  <si>
    <t>Sprung zum Reiter "Startseite"</t>
  </si>
  <si>
    <t>Sprung zum Reiter "Grunddaten"</t>
  </si>
  <si>
    <t>Aufruf des Dialogfeldes "Informationen"</t>
  </si>
  <si>
    <t>Aufruf des Dialogfeldes "Hilfe"</t>
  </si>
  <si>
    <t>Aufruf des Dialogfeldes "PDF Export / Ausdruck"</t>
  </si>
  <si>
    <t>Auslösen der Löschung aller oder einzelner Eingaben</t>
  </si>
  <si>
    <r>
      <t>Erklärung / Bedeutung der Schaltflächen</t>
    </r>
    <r>
      <rPr>
        <sz val="8"/>
        <color theme="1"/>
        <rFont val="Arial"/>
        <family val="2"/>
      </rPr>
      <t xml:space="preserve"> </t>
    </r>
    <r>
      <rPr>
        <sz val="8"/>
        <color rgb="FFC00000"/>
        <rFont val="Arial"/>
        <family val="2"/>
      </rPr>
      <t>(unten dargestellte Schaltflächen nur beispielhaft und inaktiv)</t>
    </r>
    <r>
      <rPr>
        <b/>
        <sz val="10"/>
        <color theme="1"/>
        <rFont val="Arial"/>
        <family val="2"/>
      </rPr>
      <t>:</t>
    </r>
  </si>
  <si>
    <r>
      <t>Auslösen einer Neuberechnung des Förderrechners</t>
    </r>
    <r>
      <rPr>
        <sz val="8"/>
        <color theme="1"/>
        <rFont val="Arial"/>
        <family val="2"/>
      </rPr>
      <t xml:space="preserve"> (mit optionaler Anpassung der Basis für Eigenkapitalverzinsung)</t>
    </r>
  </si>
  <si>
    <t>Ergebnisse für Solver-Lauf</t>
  </si>
  <si>
    <t>Anzahl Ergebnisse</t>
  </si>
  <si>
    <t>Erreicher Überschuss / Fehlbetrag</t>
  </si>
  <si>
    <t>Erfüllung Nebenbedingung 1</t>
  </si>
  <si>
    <t>Erfüllung Nebenbedingung 2</t>
  </si>
  <si>
    <t>Erfüllung Nebenbedingung 3</t>
  </si>
  <si>
    <t>$G$56</t>
  </si>
  <si>
    <t>$D$55</t>
  </si>
  <si>
    <t>$D$56</t>
  </si>
  <si>
    <t>$G$50</t>
  </si>
  <si>
    <t>Referenz A:</t>
  </si>
  <si>
    <t>Referenz B:</t>
  </si>
  <si>
    <t>Referenz C:</t>
  </si>
  <si>
    <t>Referenz D:</t>
  </si>
  <si>
    <t>Zelle</t>
  </si>
  <si>
    <t>Variable</t>
  </si>
  <si>
    <t>Solver Auslesung</t>
  </si>
  <si>
    <t>Freie Finanzierung pro m²</t>
  </si>
  <si>
    <t>Puffer Förderdarlehen pro m²</t>
  </si>
  <si>
    <t>Rundungsdifferenz Förderdarlehen</t>
  </si>
  <si>
    <t>Maximal zulässige Aufrundung pro m²</t>
  </si>
  <si>
    <t>Notwendige Fremdfinanzierung</t>
  </si>
  <si>
    <t>Anpassungsbedarf</t>
  </si>
  <si>
    <t>Differenz zwischen Annuitäten</t>
  </si>
  <si>
    <t>Annuitäten-Check</t>
  </si>
  <si>
    <t>Anzahl der automatischen Erhöhungen der Durchläufe (Iterationen) für die Zielwertsuche</t>
  </si>
  <si>
    <t>MUSS-Feld
Bereich: "Aufteilung der Wohneinheiten / Einnahmen"
Hier sind Anzahl der Wohneinheiten zu hinterlegen, welche durch den zu fördernden Aufzug im Förderobjekt erschlossen werden sollen.
Nicht numerische oder negative Werte sind nicht zulässig.</t>
  </si>
  <si>
    <t>MUSS-Feld
Bereich: "Darlehen / laufende Aufwendungen"
Bitte geben Sie den bereits bekannten bzw. angenommenen (marktüblichen) Zinssatz für das "Sonstige (vorgesehen) Darlehen" für die geförderten Wohnungen ein.
Bitte achten Sie auch darauf, dass der Kapitaldienst dieser Finanzierung HÖHER sein muss, als der des Förderdarlehens.
Dies ist darin begründet, dass die Höhe des Förderdarlehens u. a. von der Objektwirtschaftlichkeit abhängig ist. Sollte diese zu hoch sein, muss das Förderdarlehen anteilig gekürzt und die notwendige Restfinanzierung erhöht werden, bis sich die Objektwirtschaftlichkeit soweit "verschlechtert", dass sich ein vorgegebener Wert ergibt. Sofern die Konditionen des Restdarlehens gleich oder besser sind, als die des Förderdarlehens, kann hier eine solche Berechnung nicht durchgeführt werden. In diesem Fall wird davon ausgegangen, dass sich das Vorhaben mit ausschließlich freien Mitteln besser trägt, als mit Förderdarlehen.
Nicht numerische oder negative Werte sind nicht zulässig.</t>
  </si>
  <si>
    <t>MUSS-Feld
Bereich: "Darlehen / laufende Aufwendungen"
Bitte geben Sie den bereits bekannten bzw. angenommenen (marktüblichen) Zinssatz für das "Sonstige (vorgesehene) Darlehen" für die geförderten Wohnungen ein.
Bitte achten Sie auch darauf, dass der Kapitaldienst dieser freien Finanzierung HÖHER sein muss, als der des Förderdarlehens.
Dies ist darin begründet, dass die Höhe des Förderdarlehens u. a. von der Objektwirtschaftlichkeit abhängig ist. Sollte diese zu hoch sein, muss das Förderdarlehen anteilig gekürzt und die notwendige Restfinanzierung erhöht werden, bis sich die Objektwirtschaftlichkeit soweit "verschlechtert", dass sich ein vorgegebener Wert ergibt. Sofern die Konditionen des Restdarlehens gleich oder besser sind, als die des Förderdarlehens, kann hier eine solche Berechnung nicht durchgeführt werden. In diesem Fall wird davon ausgegangen, dass sich das Vorhaben mit ausschließlich freien Mitteln besser trägt, als mit Förderdarlehen.
Nicht numerische oder negative Werte sind nicht zulässig.</t>
  </si>
  <si>
    <t>Tilgungssatz Sonstige vorgesehene Finanzierung</t>
  </si>
  <si>
    <t>Option, Antragsnummer in der Berechnung zu hinterlegen
Erweiterung der Plausiprüfung der Höhe des Baudarlehens innerhalb der Zielwertsuche
Anpassung der Exceleinstellungen für erhöhte Anzahl von möglichen Iterationen innerhalb einer Zielwertsuche
Anpassung der Exceleinstellungen für Berechnungsgenauigkeit einer Zielwertsuche
Möglichkeit, manuell eine Neuberechnung der Förderbeträge anzustossen zu können (via Schaltfläche)
Option, alternative Berechnungsmethode via "Solver" zu nutzen (benötigt installiertes und aktiviertes Excel-Add-In)
Option, Basis für Eigenkapitalverzinsung anpassen zu lassen, um Objektwirtschaftlichkeit herstellen zu können
Ausweis der durchschnittlich erzielten Eigenkapitalverzinsung p. a. (in Prozent)
Möglichkeit eines dialoggesteuerten Exportes des Förderrechners als PDF-Datei
Anpassungen / Korrekturen für LBV-spezifische Version des Förderrechners</t>
  </si>
  <si>
    <t>Grundstückskosten</t>
  </si>
  <si>
    <t>Erwerbskosten</t>
  </si>
  <si>
    <t>Baukosten</t>
  </si>
  <si>
    <t>Baunebenkosten</t>
  </si>
  <si>
    <t>Adresse</t>
  </si>
  <si>
    <t>Länge</t>
  </si>
  <si>
    <t>"]"</t>
  </si>
  <si>
    <t>"!"</t>
  </si>
  <si>
    <t>Antragsnummer</t>
  </si>
  <si>
    <t>WE für 1. EK-Grenze</t>
  </si>
  <si>
    <t>WE für 2. EK-Grenze</t>
  </si>
  <si>
    <t>WE nicht belegungsgebunden</t>
  </si>
  <si>
    <t>Wohnfläche für 1. EK-Grenze</t>
  </si>
  <si>
    <t>Wohnfläche für 2. EK-Grenze</t>
  </si>
  <si>
    <t>Wohnfläche nicht belegungsgebunden</t>
  </si>
  <si>
    <t>Betrag Sonstige vorgesehene Finanzierung</t>
  </si>
  <si>
    <t>Basis Eigenkapitalverzinsung</t>
  </si>
  <si>
    <t>I</t>
  </si>
  <si>
    <t>II</t>
  </si>
  <si>
    <t>III</t>
  </si>
  <si>
    <t>IV</t>
  </si>
  <si>
    <t>V</t>
  </si>
  <si>
    <t>Backup</t>
  </si>
  <si>
    <t>Zellenbezug</t>
  </si>
  <si>
    <t>Datenfeld</t>
  </si>
  <si>
    <t>Belegt:</t>
  </si>
  <si>
    <t>Start:</t>
  </si>
  <si>
    <t>Ende:</t>
  </si>
  <si>
    <t>Zwischenspeicherung von Datensätzen</t>
  </si>
  <si>
    <t>Name Sonstige vorgesehene Finanzierung</t>
  </si>
  <si>
    <t>Betrag Sonstiger Zuschuss I</t>
  </si>
  <si>
    <t>Name Sonstiger Zuschuss I</t>
  </si>
  <si>
    <t>Name Sonstiger Zuschuss II</t>
  </si>
  <si>
    <t>Betrag Sonstiger Zuschuss II</t>
  </si>
  <si>
    <t>Timestamp:</t>
  </si>
  <si>
    <t>Hinweis:</t>
  </si>
  <si>
    <t>Verfügbarkeit?</t>
  </si>
  <si>
    <t>Anzahl</t>
  </si>
  <si>
    <t>Anpassung?</t>
  </si>
  <si>
    <t>Aufruf des Dialogfeldes "Datensicherung"</t>
  </si>
  <si>
    <t>Förderhöhen (Klimabaustein)</t>
  </si>
  <si>
    <t>Förderhöhen (Maßnahme)</t>
  </si>
  <si>
    <t>Zuschuss pro m² für Wohnfläche mit erreichten Standard</t>
  </si>
  <si>
    <t>Inanspruchnahme Klimabaustein?</t>
  </si>
  <si>
    <t>Förderfähige Wohnfläche</t>
  </si>
  <si>
    <t>Fördersatz pro m² Wohnfläche</t>
  </si>
  <si>
    <t>Zuschuss Klimabaustein</t>
  </si>
  <si>
    <t>Aufzug:</t>
  </si>
  <si>
    <t>Bindung:</t>
  </si>
  <si>
    <t>Zuschussbestandteile</t>
  </si>
  <si>
    <t>Zuschuss I</t>
  </si>
  <si>
    <t>Zuschuss II:</t>
  </si>
  <si>
    <t>Gesamt:</t>
  </si>
  <si>
    <t>Mod / Inst, wenn BV in Gemeinde gem. Anl. 2 der RL</t>
  </si>
  <si>
    <t>Fehlbetrag:</t>
  </si>
  <si>
    <t>Restdarlehen:</t>
  </si>
  <si>
    <t>EK-Verzinsung I:</t>
  </si>
  <si>
    <t>EK-Verzinsung II:</t>
  </si>
  <si>
    <t>22.06</t>
  </si>
  <si>
    <t>pro WE</t>
  </si>
  <si>
    <t>Zuschusszuordnung:</t>
  </si>
  <si>
    <t>Gesamtförderung:</t>
  </si>
  <si>
    <t>MUSS-Feld
Bereich: "Kunde / Objekt"
Bitte geben Sie an, ob die die Fördervoraussetzungen (Standards) für den Zuschuss "Klimabaustein" erfüllt werden.</t>
  </si>
  <si>
    <t>Gemeinde gemäß Anlage 2 der Richtlinie:</t>
  </si>
  <si>
    <t>Darlehenszuordnung:</t>
  </si>
  <si>
    <t>… pro m²:</t>
  </si>
  <si>
    <t>… pro WE:</t>
  </si>
  <si>
    <t>Variablen:</t>
  </si>
  <si>
    <t># Förderbestandteile:</t>
  </si>
  <si>
    <t>Auto-Zielwert?</t>
  </si>
  <si>
    <t>Zuschussfeld:</t>
  </si>
  <si>
    <t>Förderdarlehen:</t>
  </si>
  <si>
    <t>Prüfcheck I:</t>
  </si>
  <si>
    <t>Prüfcheck II:</t>
  </si>
  <si>
    <t>Prüfcheck III:</t>
  </si>
  <si>
    <t>Prüfcheck IV:</t>
  </si>
  <si>
    <t>Nachträglicher An- / Einbau von Aufzügen</t>
  </si>
  <si>
    <t>(aus den geförderten WE resultierend; z. B. zugewiesene Stellplätze)</t>
  </si>
  <si>
    <t>… ohne Eigenkapitalverzinsung:</t>
  </si>
  <si>
    <t>Zu verzinsendes zusätzliches Eigenkapital:</t>
  </si>
  <si>
    <t>Zu verzinsende Mindesteigenleistungen:</t>
  </si>
  <si>
    <t>Tatsächlich eingesetzte Eigenleistungen:</t>
  </si>
  <si>
    <t>Werte</t>
  </si>
  <si>
    <t>Aktuelle Berechnung</t>
  </si>
  <si>
    <t>Formatierung?</t>
  </si>
  <si>
    <t>Baudarlehen I (Maßnahme)</t>
  </si>
  <si>
    <t>Baudarlehen II (Aufzug)</t>
  </si>
  <si>
    <t>Baudarlehen III (Klimabaustein)</t>
  </si>
  <si>
    <t>Förderzuschuss I (Bindung)</t>
  </si>
  <si>
    <t>Förderzuschuss II (Aufzug)</t>
  </si>
  <si>
    <t>Förderzuschuss III (Klimabaustein)</t>
  </si>
  <si>
    <t>Spalte 1:</t>
  </si>
  <si>
    <t>Spalte 2:</t>
  </si>
  <si>
    <t>Variablen I</t>
  </si>
  <si>
    <t>Variablen II</t>
  </si>
  <si>
    <t>Maximaler Zuschuss</t>
  </si>
  <si>
    <t>Restoration?</t>
  </si>
  <si>
    <t>Max. Miete für 1. EK-Grenze Anlage 3 RL</t>
  </si>
  <si>
    <t>Max. Miete für 2. EK-Grenze Anlage 3 RL</t>
  </si>
  <si>
    <t>Max. Miete für 1. EK-Grenze Übrige</t>
  </si>
  <si>
    <t>Max. Miete für 2. EK-Grenze Übrige</t>
  </si>
  <si>
    <t>Kappung des Darlehens bei Förderung über Höchstförderung</t>
  </si>
  <si>
    <t>VWK pro Wohneinheit</t>
  </si>
  <si>
    <t>VWK pro Garage / Carport</t>
  </si>
  <si>
    <t>IHK pro m² Wohnfläche</t>
  </si>
  <si>
    <t>IHK Zuschlag Aufzug pro m²</t>
  </si>
  <si>
    <t>IHK pro Garage / Carport</t>
  </si>
  <si>
    <t>BB Neubau sowie Umnutzung / Wiederherstellung</t>
  </si>
  <si>
    <t>BB Mod / Inst, wenn BV in Gemeinde gem. Anl. 2 der RL</t>
  </si>
  <si>
    <t>BB Mod / Inst, wenn BV in übriger Gemeinde</t>
  </si>
  <si>
    <t>BB Solo-Förderung Aufzüge</t>
  </si>
  <si>
    <t>BB davon 1. EK-Grenze (Minimum)</t>
  </si>
  <si>
    <t>BB davon 2. EK-Grenze (Rest - anhängig von Bindungen in 1. EK-Grenze)</t>
  </si>
  <si>
    <t>Anteil für erste Stufe EK-Verzinsung</t>
  </si>
  <si>
    <t>Mitarbeiterfreigabe?</t>
  </si>
  <si>
    <t>Vollsperrung?</t>
  </si>
  <si>
    <t>Änderungen?</t>
  </si>
  <si>
    <t>Grunddaten …</t>
  </si>
  <si>
    <t>Notwendige Restfinanzierung</t>
  </si>
  <si>
    <t>Nicht zutreffend</t>
  </si>
  <si>
    <t>Zulässig?</t>
  </si>
  <si>
    <t>Nutzung Klimabaustein?</t>
  </si>
  <si>
    <t>Zuschuss?</t>
  </si>
  <si>
    <t>Darlehen?</t>
  </si>
  <si>
    <t>Erfüllung Voraussetzungen:</t>
  </si>
  <si>
    <t>Effizienzhaus 40+</t>
  </si>
  <si>
    <t>Effizienzhaus 40</t>
  </si>
  <si>
    <t>Effizienzhaus 55</t>
  </si>
  <si>
    <t>Effizienzhaus 70</t>
  </si>
  <si>
    <t>Effizienzhaus 85</t>
  </si>
  <si>
    <t>Effizienzhaus 100</t>
  </si>
  <si>
    <t>Effizienzhaus 115</t>
  </si>
  <si>
    <t>Standards "Klimabaustein"</t>
  </si>
  <si>
    <t>Neuberechnung</t>
  </si>
  <si>
    <t>Bereinigung</t>
  </si>
  <si>
    <t>Funktionalität</t>
  </si>
  <si>
    <t>Ausdruck / Export</t>
  </si>
  <si>
    <t>Anzeige?</t>
  </si>
  <si>
    <t>Hilfe</t>
  </si>
  <si>
    <t>Position</t>
  </si>
  <si>
    <t>Offset?</t>
  </si>
  <si>
    <t>Information</t>
  </si>
  <si>
    <t>Versionen</t>
  </si>
  <si>
    <t>Backups</t>
  </si>
  <si>
    <t>Links</t>
  </si>
  <si>
    <t>Rechts</t>
  </si>
  <si>
    <t>Änderung</t>
  </si>
  <si>
    <t>Zähler?</t>
  </si>
  <si>
    <t>Administrator:</t>
  </si>
  <si>
    <t>Kennzahlen:</t>
  </si>
  <si>
    <t>Datenpflege</t>
  </si>
  <si>
    <t>Sicherung</t>
  </si>
  <si>
    <t>Grunddaten:</t>
  </si>
  <si>
    <t>Bewirtschaftungskosten:</t>
  </si>
  <si>
    <t>Mit gefördertem Aufzug erreichbare Wohnfläche</t>
  </si>
  <si>
    <t>Davon durch Aufzug barrierefrei erreichbare Wohnfläche</t>
  </si>
  <si>
    <t>MUSS-Feld
Bereich: "Aufteilung der Wohneinheiten / Einnahmen"
Hier sind Anzahl der Wohneinheiten zu hinterlegen, welche durch den zu fördernden Aufzug im Förderobjekt auch tatsächlich barrierefrei (gemäß DIN 18040-2) erreicht werden können.
Nicht numerische oder negative Werte sind nicht zulässig.</t>
  </si>
  <si>
    <t>Druckvorgang?</t>
  </si>
  <si>
    <t>Zinssatz Förderdarlehen</t>
  </si>
  <si>
    <t>Iterationsanpassung?</t>
  </si>
  <si>
    <t>Aufnahme Zuschuss "Klimabaustein" (Ausblendung bis Freigabe durch MIL)
Möglichkeit, bis zu 5 Berechnungen "zwischenspeichern" und "wiederherstellen" zu können
Ausweis des Anteils der Kosten- und Finanzierungsbestandteile an den Gesamtkosten
Option, die durch einen geförderten Aufzug erschlossene Wohnfläche erfassen zu können
Option, das Baudarlehen automatisch kappen zu lassen, sofern Höchstförderung (i. V. m. Aufzug) überschritten wird
Korrektur, dass für Baudarlehen bei freigeschalteteten Grunddaten ein Tilgungssatz &lt; 2% zugelassen wird
Ausweis des Datums der Berechnung (mit Option, Datum manuell zu überschreiben)</t>
  </si>
  <si>
    <t>EK-Verzinsung:</t>
  </si>
  <si>
    <t>Differenz:</t>
  </si>
  <si>
    <t>22.07</t>
  </si>
  <si>
    <t>Unterdeckung:</t>
  </si>
  <si>
    <t>Korrektur des Ausweises der "Sonstigen Finanzierung" in der Übersicht der Gesamtfinanzierung</t>
  </si>
  <si>
    <t>Nein</t>
  </si>
  <si>
    <t>Ja</t>
  </si>
  <si>
    <t>22.08</t>
  </si>
  <si>
    <t>Maßnahmearten:</t>
  </si>
  <si>
    <t>Maßnahmeprüfung?</t>
  </si>
  <si>
    <t>#</t>
  </si>
  <si>
    <t>Maßnahmeklasse</t>
  </si>
  <si>
    <t>Umnutzung / Wiederherstellung ohne Zuschuss</t>
  </si>
  <si>
    <t>Umnutzung / Wiederherstellung mit Zuschuss</t>
  </si>
  <si>
    <t>Anpassung Wohnbedürfnisse</t>
  </si>
  <si>
    <t>Indirekter Bezug:</t>
  </si>
  <si>
    <t>Wiederherstellung Wohngebäude</t>
  </si>
  <si>
    <t>Erweiterung Wohngebäude</t>
  </si>
  <si>
    <t>Nutzungsänderung unbeheizt (Denkmal)</t>
  </si>
  <si>
    <t>Nutzungsänderung unbeheizt (Standard)</t>
  </si>
  <si>
    <t>Nutzungsänderung beheizte Fläche</t>
  </si>
  <si>
    <t>Anpassung und Aktivierung der Förderoption "Klimabaustein"</t>
  </si>
  <si>
    <t>Fördergegenstand "Klimabaustein"</t>
  </si>
  <si>
    <t>Erreichter Standard "Klimabaustein"</t>
  </si>
  <si>
    <t>MUSS-Feld
Bereich: "Kunde / Objekt"
Bitte geben Sie an, welcher Fördergegenstand hauptsächlich auf die Maßnahme zutrifft.</t>
  </si>
  <si>
    <t>in der Fassung der ersten Änderung vom 04.10.2022</t>
  </si>
  <si>
    <t>in der Fassung der ersten Änderung vom 08.03.2017</t>
  </si>
  <si>
    <t>in der Fassung der zweiten Änderung vom 04.09.2018</t>
  </si>
  <si>
    <t>Max. Förderbetrag pro m² / Wfl.:</t>
  </si>
  <si>
    <t>Tat. Förderbetrag pro m² / Wfl.:</t>
  </si>
  <si>
    <t>Mindestbetrag</t>
  </si>
  <si>
    <t>Anrechnungen</t>
  </si>
  <si>
    <t>Restbetrag</t>
  </si>
  <si>
    <t>22.09</t>
  </si>
  <si>
    <t>Partnername:</t>
  </si>
  <si>
    <t>Mit Aufzug:</t>
  </si>
  <si>
    <t>Ohne Aufzug:</t>
  </si>
  <si>
    <t>Einstufung</t>
  </si>
  <si>
    <t>Ansatz Instandhaltungskosten</t>
  </si>
  <si>
    <t>Garagen:</t>
  </si>
  <si>
    <t>Fläche / Anzahl</t>
  </si>
  <si>
    <t>Kosten pro Einheit</t>
  </si>
  <si>
    <t>Leerstandkosten pro m² Wfl. P. a.</t>
  </si>
  <si>
    <t>Betriebskosten pro m² Leerstand pro Monat</t>
  </si>
  <si>
    <t>Nicht umlegbare Betriebskosten pro m² Leerstand pro Monat</t>
  </si>
  <si>
    <t>Ansatz Mietausfallwagnis / Betriebskosten Leerstand</t>
  </si>
  <si>
    <t>Gewichtete Förderung pro m²</t>
  </si>
  <si>
    <t>Berechnung Förderung?</t>
  </si>
  <si>
    <t>Gesamtförderung pro m²:</t>
  </si>
  <si>
    <t>Zuschuss Bindung pro m²:</t>
  </si>
  <si>
    <t>Zuschuss Aufzüge pro m²:</t>
  </si>
  <si>
    <t>Zuschuss Klimabaustein pro m²:</t>
  </si>
  <si>
    <t>Darlehen (Maßnahme) pro m²:</t>
  </si>
  <si>
    <t>Darlehen (Aufzüge) pro m²:</t>
  </si>
  <si>
    <t>Förderung ohne Aufzüge pro m²:</t>
  </si>
  <si>
    <t>Ausnahme MIL notwendig?</t>
  </si>
  <si>
    <t>Förderhöchstbetrag pro m²:</t>
  </si>
  <si>
    <t>Prüfung Ausnahmenotwendigkeit MIL</t>
  </si>
  <si>
    <t>Überförderung pro m²</t>
  </si>
  <si>
    <t>Kappung Förderung?</t>
  </si>
  <si>
    <t>Anpassung der Bewirtschaftungskosten ab 01.01.2023
Aufnahme und Berücksichtigung der Betriebskosten für leerstehende Wohnflächen
Getrennte Ermittlung der Instandhaltungskosten bei mit Aufzug nur teilweise erschlossenen Flächen und Ausweis Durchschnittswert
Korrektur bei ausgewählter Kappung der Förderbeträge auf Förderhöchstgrenze (Klimabaustein)
Korrektur Rechtschreib- und Grammatikfehler</t>
  </si>
  <si>
    <t>23.01</t>
  </si>
  <si>
    <t>Nichtverfügbarkeit Deckungsbeitrag</t>
  </si>
  <si>
    <t>Mieteinnahmen:</t>
  </si>
  <si>
    <t>Geschätzter Deckungsbeitrag vor Maßnahme (Vollvermietung)</t>
  </si>
  <si>
    <t>Sonstige Einnahmen:</t>
  </si>
  <si>
    <t>Alter Kapitaldienst:</t>
  </si>
  <si>
    <t>ModInst, Solo-Aufzüge</t>
  </si>
  <si>
    <t>Einkommensgrenzen</t>
  </si>
  <si>
    <t>Neubau, Umnutzung, Widerherstellung</t>
  </si>
  <si>
    <t>Bindungsquote I</t>
  </si>
  <si>
    <t>Bindungsquote II</t>
  </si>
  <si>
    <t>Korrektur des Ausweises des maximal möglichen Förderdarlehens bei Nutzung des Klimabausteines in der externen Version
Option, einen errechneten Deckungsbeitrag vor Maßnahme zu nutzen, sofern kein verläßlicher bereitgestellt werden konnte (Mod/Inst)
Korrektur des Ausweises der Instandhaltungskosten bei vorhandenem Aufzug (wenn keine Aufzugsförderung genutzt wird)
Anpassung der Berechnung der notwendigen Bindungen für Maßnahmen mit 3 oder weniger Wohneinheiten
Option, notwendiges "echtes" Eigenkapital automatisch berechnen zu lassen
Option, Basis für Eigenkapitalverzinsung automatisch anpassen zu lassen, um jährlichen Fehlbetrag ausgleichen zu können
Option, Tilgungssatz der Förderdarlehen automatisch anpassen zu lassen, um "Notwendige Restfinanzierung" möglichst zu vermeiden</t>
  </si>
  <si>
    <t>Anpassung Tilgungssatz?</t>
  </si>
  <si>
    <t>23.02</t>
  </si>
  <si>
    <t>Korrektur der Berechnung der Belegungsbindungen bei nur 3 Wohneinheiten</t>
  </si>
  <si>
    <t>3. EK</t>
  </si>
  <si>
    <t>Anzahl EK</t>
  </si>
  <si>
    <t>23.03</t>
  </si>
  <si>
    <t>davon 3. EK-Grenze (Rest - anhängig von Bindungen in 1. EK-Grenze)</t>
  </si>
  <si>
    <t>Bindungsquote III</t>
  </si>
  <si>
    <t>Solo-Aufzüge</t>
  </si>
  <si>
    <t>Max. Miete für 3. EK-Grenze</t>
  </si>
  <si>
    <t>Max. Miete für 3. EK-Grenze Anlage 3 RL</t>
  </si>
  <si>
    <t>Max. Miete für 3. EK-Grenze Übrige</t>
  </si>
  <si>
    <t>Solo - Aufzug?</t>
  </si>
  <si>
    <t>WE / m² für 3. EK-Grenze</t>
  </si>
  <si>
    <t>Miethöhe für WE 3. EK-Grenze</t>
  </si>
  <si>
    <t>Zuschuss Grundförderung</t>
  </si>
  <si>
    <t>…</t>
  </si>
  <si>
    <t>Zuschuss: Grundförderung (ab 2024)</t>
  </si>
  <si>
    <t>Zuschuss: Klimabaustein</t>
  </si>
  <si>
    <t>Inanspruchnahme Grundförderung?</t>
  </si>
  <si>
    <t>Max. Miete 3. EK-Grenze</t>
  </si>
  <si>
    <t>Höchstförderung Zuschuss - Verlängerung Belegungsbindung</t>
  </si>
  <si>
    <t>Minimum</t>
  </si>
  <si>
    <t>Gesamt</t>
  </si>
  <si>
    <t>1. EK-Grenze</t>
  </si>
  <si>
    <t>2. EK-Grenze</t>
  </si>
  <si>
    <t>Prüfungen</t>
  </si>
  <si>
    <t>Nebenrechnung: Wohnflächen</t>
  </si>
  <si>
    <t>Nebenrechnung: Wohneinheiten</t>
  </si>
  <si>
    <t>Nebenrechnung: EK-Verzinsung</t>
  </si>
  <si>
    <t>Nebenrechnung: Spitzenfinanzierung</t>
  </si>
  <si>
    <t>Nebenrechnung: Eigenkapital</t>
  </si>
  <si>
    <t>Höchstförderung Zuschuss - Grundförderung (ModInst)</t>
  </si>
  <si>
    <t>Höchstförderung Zuschuss - Grundförderung (Neubau / Umnutzung)</t>
  </si>
  <si>
    <t>Fördersatz pro m² Wohnfläche (ModInst)</t>
  </si>
  <si>
    <t>Fördersatz pro m² Wohnfläche (Neubau / Umnutz.)</t>
  </si>
  <si>
    <t>ModInst mit Zuschuss</t>
  </si>
  <si>
    <t>Zuschuss</t>
  </si>
  <si>
    <t>Jahre</t>
  </si>
  <si>
    <t>Belegungsbindung</t>
  </si>
  <si>
    <t>Höchstförderung Darlehen - ModInst</t>
  </si>
  <si>
    <t>Höchstförderung Darlehen - Neubau, Umnutzung mit Zuschuss</t>
  </si>
  <si>
    <t>Höchstförderung Darlehen - Neubau, Umnutzung ohne Zuschuss</t>
  </si>
  <si>
    <t>Infotext zur Belegungsbindung</t>
  </si>
  <si>
    <t>Viertel</t>
  </si>
  <si>
    <t>Hälfte</t>
  </si>
  <si>
    <t>Dreiviertel</t>
  </si>
  <si>
    <t>Fünftel</t>
  </si>
  <si>
    <t>Anzahl Stellplätze:</t>
  </si>
  <si>
    <t>Anzahl Garagen / Carports</t>
  </si>
  <si>
    <t>Anzahl Stellplätze</t>
  </si>
  <si>
    <t>Höchstförderung Darlehen - Aufzug (nur informativ)</t>
  </si>
  <si>
    <t>BB davon 3. EK-Grenze (Rest - anhängig von Bindungen in 2. EK-Grenze)</t>
  </si>
  <si>
    <t>Freie Miete:</t>
  </si>
  <si>
    <t>Anpassungsbedarf:</t>
  </si>
  <si>
    <t>Mietreduzierung:</t>
  </si>
  <si>
    <t>Anpassung Freie Miete</t>
  </si>
  <si>
    <t>Mietobergrenze:</t>
  </si>
  <si>
    <t>Vollständigkeit?</t>
  </si>
  <si>
    <t>3. EK-Grenze?</t>
  </si>
  <si>
    <t>Modernisierungskosten:</t>
  </si>
  <si>
    <t>Pauschaler Ansatz für Anteil von Modernisierungskosten</t>
  </si>
  <si>
    <t>… umlagefähig p. a.:</t>
  </si>
  <si>
    <t>Kapitaldienst aus bereits vor Maßnahmebeginn für das Förderobjekt bestehenden Finanzierungen (gesamt):</t>
  </si>
  <si>
    <t>Nutzung eines rückgerechneten Deckungsbeitrages vor Maßnahmebeginn (z. B. bei langfristigem Leerstand / Leerzug):</t>
  </si>
  <si>
    <t>2. Einkommensgrenze:</t>
  </si>
  <si>
    <t>3. Einkommensgrenze:</t>
  </si>
  <si>
    <t>1. Einkommensgrenze:</t>
  </si>
  <si>
    <t>Prüfung Einkommensgrenzen</t>
  </si>
  <si>
    <t>Mindestbindungsquote gesamt</t>
  </si>
  <si>
    <t>Maximale zulässige Annuität bei (deutlich) erhöhtem Einsatz von Eigenmitteln</t>
  </si>
  <si>
    <t>MUSS-Feld oder KANN-Feld (abhängig von den Eingaben bei der 1. und 2. EK-Grenze)
Bereich: "Aufteilung der Wohneinheiten / Einnahmen"
Dieser Fehler kann folgende Ursachen haben:
   - Es wurde noch keine Eingabe vorgenommen.
   - Die Anzahl der WE für die 1. und 2. EK-Grenze wurde korrekt
     erfasst, jedoch ist die Anzahl der nicht belegungsgebundenen
     WE oder der WE in der 3. EK-Grenze zu gering.
Geben Sie hier die noch offene Differenz ein. Alternativ kann auch die Anzahl der belegungsgebundenen WE entsprechend erhöht werden.
Nicht numerische oder negative Werte sind nicht zulässig.</t>
  </si>
  <si>
    <t>MUSS-Feld
Bereich: ''Objektwirtschaftlichkeit alt''
Hier ist auszuwählen, ob der Deckungsbeitrag des Förderobjektes vor Maßnahmebeginn bekannt ist und genutzt werden soll, oder ob statt dessen ein fiktiver Deckungsbeitrag auf Basis einer Rückrechnung der Mieteinnahmen nach Fertigstellung abzüglich einer unterstellten Modernisierungumlage verechnet und verwendet werden soll.</t>
  </si>
  <si>
    <t>Quote für Bindungen in 1. EK</t>
  </si>
  <si>
    <t>Quote für Bindungen in 2. EK</t>
  </si>
  <si>
    <t>Aufteilung Quoten Belegungsbindungen</t>
  </si>
  <si>
    <t>Aufteilung Quoten für Belegungsbindung</t>
  </si>
  <si>
    <t>MUSS-Feld
Bereich: "Kunde / Objekt"
Bitte korrigieren Sie die Aufteilung der Quoten zur Belegungsbindung zwischen den 3 verschiedenen Einkommensgrenzen.</t>
  </si>
  <si>
    <t>23.04</t>
  </si>
  <si>
    <t>Reduzierung der Förderobergrenze um Zuschuss für Belegungsbindung für RL vom 01.12.2023</t>
  </si>
  <si>
    <t>Anpassungen für Förderrichtlinie vom 01.12.2023
Aufnahme von Stellplätzen für korrekte Abbildung der Bewirtschaftungskosten
Anpassung des automatisch berechneten Deckungsbeitrages bei ModInst-Maßnahmen
Diverse Bereinigungen / Korrekturen in Zell-Referenzierungen</t>
  </si>
  <si>
    <t>Verfügbarkeit</t>
  </si>
  <si>
    <t>24.01</t>
  </si>
  <si>
    <t>(Auf)Rundung</t>
  </si>
  <si>
    <t>Über- / Unterdeckung bei voller Förderung</t>
  </si>
  <si>
    <t>Sicherheitspuffer für Überschuss</t>
  </si>
  <si>
    <t>Zuschüsse (ILB):</t>
  </si>
  <si>
    <t>Anzeige Schaltfläche?</t>
  </si>
  <si>
    <t>Eigenkapitalzinsbasis:</t>
  </si>
  <si>
    <t>Jahresüberschuss:</t>
  </si>
  <si>
    <t>Spielraum Tilgungssatz:</t>
  </si>
  <si>
    <t>Absenkung Tilgungssatz:</t>
  </si>
  <si>
    <t>Finaler Tilgungssatz:</t>
  </si>
  <si>
    <t>Nebenrechnung: Absenkung Tilgungssatz Baudarlehen</t>
  </si>
  <si>
    <t>… davon 3. EK-Grenze (Rest - anhängig von Bindungen in 1. + 2. EK-Grenze)</t>
  </si>
  <si>
    <t>Erfüllung Bindungsquoten für WE:</t>
  </si>
  <si>
    <t>Bindungsquoten müssen auch für die Anzahl der Wohneinheiten erfüllt werden</t>
  </si>
  <si>
    <t>Mindesttilgungssatz Förderdarlehen</t>
  </si>
  <si>
    <t>Korrektur des fehlenden Ausweises der notwendigen Restfinanzierung in der Finanzierungszusammenfassung
Weitere Anpassung zur Vermeidung einer notwendigen Restfinanzierung von 100,00 EUR oder weniger
Option, die Anzahl der Wohneinheiten von der Verteilung der Belegungsbindungsquoten auszuschließen (nur interne Version)
Erweiterung der per "Mitarbeiterfreigabe" freigeschalteten Einstellungen in den "Grunddaten"</t>
  </si>
  <si>
    <t>KANN-Feld
Bereich: "Darlehen/laufende Aufwendungen"
Bitte geben Sie hier die Anzahl der (nicht überdachten) Stellplätze, die dem zu fördernden Objekt zuzuordnen sind, in der richtigen Form ein. Sind keine Stellplätze vorhanden, kann dieses Feld leer bleiben, sofern keine sostigen Einnahmen aus dem Objekt hinterlegt wurden.
Nicht numerische oder negative Werte sind nicht zulässig.</t>
  </si>
  <si>
    <t>KANN-Feld
Bereich: "Darlehen/laufende Aufwendungen"
Bitte geben Sie hier die Anzahl der Garagen bzw. überdachten Stellplätze (Carports), die dem zu fördernden Objekt zuzuordnen sind, in der richtigen Form ein. Sind keine Garagen oder Carports vorhanden, kann dieses Feld leer bleiben, sofern keine sonstigen Einnahmen aus dem Objekt hinterlegt wurden.
Nicht numerische oder negative Werte sind nicht zulässig.</t>
  </si>
  <si>
    <t xml:space="preserve"> </t>
  </si>
  <si>
    <t>24.02</t>
  </si>
  <si>
    <t>Anpassung der automatischen Bereinigung von Eingaben wenn eine Änderung der Maßnahmeart erfolgte
Korrektur der fehlenden Berücksichtigung eines manuellen Bindungssatzes für die 2. EK bei der Ermittlung der Wohnflächen</t>
  </si>
  <si>
    <t>24.03</t>
  </si>
  <si>
    <t>Korrektur des fehlenden Ausweises einer notwendigen Restfinnazierung bei reiner Aufzugsförderung
Korrektur des Ausweises unnötiger Darlehen bei Finanzierung nur aus Eigenkapital und Zuschüssen</t>
  </si>
  <si>
    <t>Gegenprüfung Kürzungsbedarf</t>
  </si>
  <si>
    <t>EK / Zuschüsse unzureichend?</t>
  </si>
  <si>
    <t>Sonstiger Zuschuss I (bitte benennen):</t>
  </si>
  <si>
    <t>Sonstiger Zuschuss II (bitte benennen):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</si>
</sst>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7" formatCode="#,##0.00\ &quot;€&quot;;\-#,##0.00\ &quot;€&quot;"/>
    <numFmt numFmtId="8" formatCode="#,##0.00\ &quot;€&quot;;[Red]\-#,##0.00\ &quot;€&quot;"/>
    <numFmt numFmtId="164" formatCode="&quot;€&quot;#,##0.00_);[Red]\(&quot;€&quot;#,##0.00\)"/>
    <numFmt numFmtId="165" formatCode="&quot;€&quot;#,##0.00_);\(&quot;€&quot;#,##0.00\)"/>
    <numFmt numFmtId="166" formatCode="_(* #,##0.00_);_(* \(#,##0.00\);_(* &quot;-&quot;??_);_(@_)"/>
    <numFmt numFmtId="167" formatCode="#,##0.00&quot; m²&quot;"/>
    <numFmt numFmtId="168" formatCode="#,##0.00\ &quot;€&quot;;[Color55]\-#,##0.00\ &quot;€&quot;"/>
    <numFmt numFmtId="169" formatCode="0.0000\ &quot;%&quot;"/>
    <numFmt numFmtId="170" formatCode="&quot; ≙&quot;* #,##0.0&quot; %&quot;;&quot; ≙&quot;* \-#,##0.0&quot; %&quot;"/>
    <numFmt numFmtId="171" formatCode="&quot; ≙&quot;* #,##0.00&quot; €/m² Wfl.&quot;;&quot; ≙&quot;* \-#,##0.00&quot; €/m² Wfl.&quot;"/>
    <numFmt numFmtId="172" formatCode="&quot; ≙&quot;* #,##0&quot; WE&quot;;&quot; ≙&quot;* \-#,##0&quot; WE&quot;"/>
    <numFmt numFmtId="173" formatCode="&quot;Stand: &quot;dd/mm/yyyy"/>
    <numFmt numFmtId="174" formatCode="#,##0.00&quot; m²&quot;;[Color55]\-#,##0.00&quot; m²&quot;"/>
    <numFmt numFmtId="175" formatCode="0&quot; %&quot;;[Color55]\-0&quot; %&quot;"/>
    <numFmt numFmtId="176" formatCode="0.0&quot; %&quot;;[Color55]\-0.0&quot; %&quot;"/>
    <numFmt numFmtId="177" formatCode="&quot; Version vom: &quot;dd/mm/yyyy"/>
    <numFmt numFmtId="178" formatCode="0\ &quot;%&quot;"/>
    <numFmt numFmtId="179" formatCode="#,##0.0000&quot; %&quot;"/>
    <numFmt numFmtId="180" formatCode="??,??0.00\ &quot;€&quot;"/>
    <numFmt numFmtId="181" formatCode="0&quot; WE &quot;;[Color55]\-0&quot; WE &quot;"/>
    <numFmt numFmtId="182" formatCode="#,##0.00&quot; m² &quot;;[Color55]\-#,##0.00&quot; m² &quot;"/>
    <numFmt numFmtId="183" formatCode="#,##0_ ;[Red]\-#,##0\ "/>
    <numFmt numFmtId="184" formatCode="#,##0.00\ &quot;€&quot;"/>
    <numFmt numFmtId="185" formatCode="#,##0.00_ ;[Red]\-#,##0.00\ "/>
    <numFmt numFmtId="186" formatCode="#,##0.00&quot; € / m² Wfl.&quot;;\-#,##0.00&quot; € / m² Wfl.&quot;"/>
    <numFmt numFmtId="187" formatCode="#,##0.0000_ &quot;%&quot;;[Red]\-#,##0.0000\ &quot;%&quot;"/>
    <numFmt numFmtId="188" formatCode="#,##0.0000_ ;\-#,##0.0000\ "/>
    <numFmt numFmtId="189" formatCode="#,##0.0000\ &quot;€&quot;;[Red]\-#,##0.0000\ &quot;€&quot;"/>
    <numFmt numFmtId="190" formatCode="#,##0_ ;\-#,##0\ "/>
    <numFmt numFmtId="191" formatCode="#,##0.0000_ ;[Red]\-#,##0.0000\ "/>
    <numFmt numFmtId="192" formatCode="0.0000%"/>
    <numFmt numFmtId="193" formatCode="#,##0.00_ &quot;%&quot;;[Red]\-#,##0.00\ &quot;%&quot;"/>
    <numFmt numFmtId="194" formatCode="dd/mm/yyyy\ \-\ hh:mm:ss;@"/>
    <numFmt numFmtId="195" formatCode="#,##0&quot; WE&quot;;[Color55]\-#,##0&quot; WE&quot;"/>
    <numFmt numFmtId="196" formatCode="#,##0.00&quot; % &quot;;\-#,##0.00&quot; % &quot;"/>
    <numFmt numFmtId="197" formatCode="0.00&quot; % &quot;;[Color55]\-0.00&quot; % &quot;"/>
    <numFmt numFmtId="198" formatCode="#,##0.00\ &quot;%&quot;"/>
    <numFmt numFmtId="199" formatCode="&quot;Ø &quot;#,##0.00&quot; € / m² Wfl.&quot;;&quot;Ø &quot;\-#,##0.00&quot; € / m² Wfl.&quot;"/>
    <numFmt numFmtId="200" formatCode="#,##0.00&quot;%&quot;_ ;[Red]\-#,##0.00&quot;%&quot;\ "/>
    <numFmt numFmtId="201" formatCode="#,##0.000000_ ;\-#,##0.000000\ "/>
    <numFmt numFmtId="202" formatCode="0.00000000%"/>
  </numFmts>
  <fonts count="103" x14ac:knownFonts="1">
    <font>
      <sz val="11"/>
      <color theme="1"/>
      <name val="Arial"/>
      <family val="2"/>
      <scheme val="minor"/>
    </font>
    <font>
      <sz val="10"/>
      <color theme="1"/>
      <name val="Arial"/>
      <family val="2"/>
      <scheme val="minor"/>
    </font>
    <font>
      <b/>
      <sz val="10"/>
      <color theme="1"/>
      <name val="Arial"/>
      <family val="2"/>
      <scheme val="minor"/>
    </font>
    <font>
      <sz val="10"/>
      <name val="Arial"/>
      <family val="2"/>
    </font>
    <font>
      <sz val="8"/>
      <color rgb="FF0000FF"/>
      <name val="Arial"/>
      <family val="2"/>
    </font>
    <font>
      <sz val="8"/>
      <color rgb="FF0000FF"/>
      <name val="Arial"/>
      <family val="2"/>
      <scheme val="minor"/>
    </font>
    <font>
      <b/>
      <sz val="12"/>
      <color rgb="FFFFFFFF"/>
      <name val="Arial"/>
      <family val="2"/>
      <scheme val="minor"/>
    </font>
    <font>
      <sz val="8"/>
      <color rgb="FFFFFFFF"/>
      <name val="Arial"/>
      <family val="2"/>
      <scheme val="minor"/>
    </font>
    <font>
      <b/>
      <sz val="10"/>
      <name val="Arial"/>
      <family val="2"/>
    </font>
    <font>
      <b/>
      <sz val="10"/>
      <color rgb="FFFFFFFF"/>
      <name val="Arial"/>
      <family val="2"/>
      <scheme val="minor"/>
    </font>
    <font>
      <i/>
      <sz val="10"/>
      <color rgb="FFBE0F34"/>
      <name val="Arial"/>
      <family val="2"/>
      <scheme val="minor"/>
    </font>
    <font>
      <sz val="8"/>
      <color theme="1"/>
      <name val="Arial"/>
      <family val="2"/>
      <scheme val="minor"/>
    </font>
    <font>
      <b/>
      <sz val="8"/>
      <color theme="1"/>
      <name val="Arial"/>
      <family val="2"/>
      <scheme val="minor"/>
    </font>
    <font>
      <sz val="8"/>
      <name val="Arial"/>
      <family val="2"/>
      <scheme val="minor"/>
    </font>
    <font>
      <b/>
      <sz val="8"/>
      <name val="Arial"/>
      <family val="2"/>
    </font>
    <font>
      <sz val="8"/>
      <name val="Arial"/>
      <family val="2"/>
    </font>
    <font>
      <b/>
      <sz val="8"/>
      <name val="Arial"/>
      <family val="2"/>
      <scheme val="minor"/>
    </font>
    <font>
      <sz val="8"/>
      <color theme="1"/>
      <name val="Arial"/>
      <family val="2"/>
    </font>
    <font>
      <b/>
      <sz val="8"/>
      <color theme="1"/>
      <name val="Arial"/>
      <family val="2"/>
    </font>
    <font>
      <sz val="10"/>
      <color rgb="FFFFFFFF"/>
      <name val="Arial"/>
      <family val="2"/>
      <scheme val="minor"/>
    </font>
    <font>
      <sz val="10"/>
      <name val="Arial"/>
      <family val="2"/>
      <scheme val="minor"/>
    </font>
    <font>
      <sz val="10"/>
      <color rgb="FFBE0F34"/>
      <name val="Arial"/>
      <family val="2"/>
      <scheme val="minor"/>
    </font>
    <font>
      <b/>
      <sz val="10"/>
      <color rgb="FFBE0F34"/>
      <name val="Arial"/>
      <family val="2"/>
      <scheme val="minor"/>
    </font>
    <font>
      <b/>
      <sz val="10"/>
      <name val="Arial"/>
      <family val="2"/>
      <scheme val="minor"/>
    </font>
    <font>
      <b/>
      <i/>
      <sz val="8"/>
      <name val="Arial"/>
      <family val="2"/>
    </font>
    <font>
      <b/>
      <i/>
      <sz val="8"/>
      <color theme="1"/>
      <name val="Arial"/>
      <family val="2"/>
    </font>
    <font>
      <b/>
      <i/>
      <sz val="8"/>
      <color theme="1"/>
      <name val="Arial"/>
      <family val="2"/>
      <scheme val="minor"/>
    </font>
    <font>
      <sz val="8"/>
      <color indexed="62"/>
      <name val="Tahoma"/>
      <family val="2"/>
    </font>
    <font>
      <b/>
      <sz val="8"/>
      <color indexed="62"/>
      <name val="Tahoma"/>
      <family val="2"/>
    </font>
    <font>
      <sz val="11"/>
      <color theme="1"/>
      <name val="Arial"/>
      <family val="2"/>
    </font>
    <font>
      <sz val="8"/>
      <color rgb="FFFFFFFF"/>
      <name val="Arial"/>
      <family val="2"/>
    </font>
    <font>
      <b/>
      <sz val="12"/>
      <color rgb="FFFFFFFF"/>
      <name val="Arial"/>
      <family val="2"/>
    </font>
    <font>
      <sz val="11"/>
      <color rgb="FFFFFFFF"/>
      <name val="Arial"/>
      <family val="2"/>
    </font>
    <font>
      <b/>
      <sz val="9.5"/>
      <color theme="1"/>
      <name val="Arial"/>
      <family val="2"/>
      <scheme val="minor"/>
    </font>
    <font>
      <b/>
      <sz val="10"/>
      <color theme="1"/>
      <name val="Arial"/>
      <family val="2"/>
    </font>
    <font>
      <b/>
      <i/>
      <sz val="10"/>
      <color theme="1"/>
      <name val="Arial"/>
      <family val="2"/>
    </font>
    <font>
      <sz val="10"/>
      <color theme="1"/>
      <name val="Arial"/>
      <family val="2"/>
    </font>
    <font>
      <sz val="8"/>
      <color rgb="FFBE0F34"/>
      <name val="Arial"/>
      <family val="2"/>
      <scheme val="minor"/>
    </font>
    <font>
      <sz val="10"/>
      <color rgb="FFBE0F34"/>
      <name val="Arial"/>
      <family val="2"/>
    </font>
    <font>
      <b/>
      <sz val="10"/>
      <color rgb="FFBE0F34"/>
      <name val="Arial"/>
      <family val="2"/>
    </font>
    <font>
      <sz val="10"/>
      <name val="MS Sans Serif"/>
      <family val="2"/>
    </font>
    <font>
      <sz val="8"/>
      <color indexed="12"/>
      <name val="Arial"/>
      <family val="2"/>
    </font>
    <font>
      <sz val="9"/>
      <name val="Arial"/>
      <family val="2"/>
    </font>
    <font>
      <sz val="9"/>
      <color indexed="12"/>
      <name val="Arial"/>
      <family val="2"/>
    </font>
    <font>
      <b/>
      <sz val="8"/>
      <color indexed="18"/>
      <name val="Arial"/>
      <family val="2"/>
    </font>
    <font>
      <b/>
      <sz val="12"/>
      <color indexed="18"/>
      <name val="Arial"/>
      <family val="2"/>
    </font>
    <font>
      <sz val="10"/>
      <color indexed="10"/>
      <name val="Arial"/>
      <family val="2"/>
    </font>
    <font>
      <sz val="9"/>
      <color indexed="8"/>
      <name val="Arial"/>
      <family val="2"/>
    </font>
    <font>
      <sz val="9"/>
      <color rgb="FFBE0F34"/>
      <name val="Webdings"/>
      <family val="1"/>
      <charset val="2"/>
    </font>
    <font>
      <b/>
      <sz val="11"/>
      <color rgb="FFFFFFFF"/>
      <name val="Arial"/>
      <family val="2"/>
    </font>
    <font>
      <b/>
      <sz val="12"/>
      <name val="Arial"/>
      <family val="2"/>
    </font>
    <font>
      <b/>
      <sz val="11"/>
      <color indexed="18"/>
      <name val="Arial"/>
      <family val="2"/>
    </font>
    <font>
      <b/>
      <sz val="9"/>
      <name val="Arial"/>
      <family val="2"/>
    </font>
    <font>
      <sz val="9"/>
      <color indexed="39"/>
      <name val="Arial"/>
      <family val="2"/>
    </font>
    <font>
      <sz val="26"/>
      <color theme="1"/>
      <name val="Wingdings"/>
      <charset val="2"/>
    </font>
    <font>
      <b/>
      <i/>
      <sz val="10"/>
      <name val="Arial"/>
      <family val="2"/>
    </font>
    <font>
      <b/>
      <sz val="9"/>
      <color theme="1"/>
      <name val="Arial"/>
      <family val="2"/>
      <scheme val="minor"/>
    </font>
    <font>
      <b/>
      <sz val="8"/>
      <color rgb="FF0000FF"/>
      <name val="Arial"/>
      <family val="2"/>
    </font>
    <font>
      <b/>
      <sz val="8"/>
      <color rgb="FFBE0F34"/>
      <name val="Arial"/>
      <family val="2"/>
      <scheme val="minor"/>
    </font>
    <font>
      <sz val="8"/>
      <color rgb="FF0070C0"/>
      <name val="Arial"/>
      <family val="2"/>
      <scheme val="minor"/>
    </font>
    <font>
      <b/>
      <sz val="8"/>
      <color theme="2"/>
      <name val="Arial"/>
      <family val="2"/>
      <scheme val="minor"/>
    </font>
    <font>
      <b/>
      <sz val="8"/>
      <color rgb="FF0070C0"/>
      <name val="Arial"/>
      <family val="2"/>
      <scheme val="minor"/>
    </font>
    <font>
      <sz val="8"/>
      <color rgb="FF0070C0"/>
      <name val="Arial"/>
      <family val="2"/>
    </font>
    <font>
      <i/>
      <sz val="8"/>
      <color rgb="FF009900"/>
      <name val="Arial"/>
      <family val="2"/>
      <scheme val="minor"/>
    </font>
    <font>
      <i/>
      <sz val="10"/>
      <color theme="1"/>
      <name val="Arial"/>
      <family val="2"/>
      <scheme val="minor"/>
    </font>
    <font>
      <i/>
      <sz val="8"/>
      <name val="Arial"/>
      <family val="2"/>
      <scheme val="minor"/>
    </font>
    <font>
      <b/>
      <sz val="8"/>
      <color theme="0"/>
      <name val="Arial"/>
      <family val="2"/>
    </font>
    <font>
      <sz val="8"/>
      <color theme="2"/>
      <name val="Arial"/>
      <family val="2"/>
      <scheme val="minor"/>
    </font>
    <font>
      <sz val="18"/>
      <color rgb="FFBE0F34"/>
      <name val="Webdings"/>
      <family val="1"/>
      <charset val="2"/>
    </font>
    <font>
      <i/>
      <sz val="10"/>
      <color theme="1"/>
      <name val="Arial"/>
      <family val="2"/>
    </font>
    <font>
      <i/>
      <sz val="8"/>
      <color theme="1"/>
      <name val="Arial"/>
      <family val="2"/>
      <scheme val="minor"/>
    </font>
    <font>
      <sz val="8"/>
      <color rgb="FFC00000"/>
      <name val="Webdings"/>
      <family val="1"/>
      <charset val="2"/>
    </font>
    <font>
      <i/>
      <sz val="8"/>
      <name val="Arial"/>
      <family val="2"/>
    </font>
    <font>
      <b/>
      <sz val="11"/>
      <color theme="1"/>
      <name val="Arial"/>
      <family val="2"/>
      <scheme val="minor"/>
    </font>
    <font>
      <i/>
      <sz val="9"/>
      <color rgb="FFC00000"/>
      <name val="Arial"/>
      <family val="2"/>
    </font>
    <font>
      <i/>
      <sz val="8"/>
      <color rgb="FFC00000"/>
      <name val="Arial"/>
      <family val="2"/>
      <scheme val="minor"/>
    </font>
    <font>
      <b/>
      <sz val="8"/>
      <color rgb="FFC00000"/>
      <name val="Arial"/>
      <family val="2"/>
      <scheme val="minor"/>
    </font>
    <font>
      <b/>
      <sz val="10"/>
      <color theme="2"/>
      <name val="Arial"/>
      <family val="2"/>
      <scheme val="minor"/>
    </font>
    <font>
      <sz val="10"/>
      <color rgb="FFC00000"/>
      <name val="Webdings"/>
      <family val="1"/>
      <charset val="2"/>
    </font>
    <font>
      <sz val="9"/>
      <color indexed="81"/>
      <name val="Segoe UI"/>
      <family val="2"/>
    </font>
    <font>
      <i/>
      <sz val="10"/>
      <color rgb="FF009900"/>
      <name val="Arial"/>
      <family val="2"/>
      <scheme val="minor"/>
    </font>
    <font>
      <b/>
      <i/>
      <sz val="9"/>
      <color theme="1"/>
      <name val="Arial"/>
      <family val="2"/>
    </font>
    <font>
      <sz val="9"/>
      <color theme="1"/>
      <name val="Arial"/>
      <family val="2"/>
    </font>
    <font>
      <sz val="9"/>
      <color theme="1"/>
      <name val="Arial"/>
      <family val="2"/>
      <scheme val="minor"/>
    </font>
    <font>
      <b/>
      <sz val="10"/>
      <color theme="2"/>
      <name val="Arial"/>
      <family val="2"/>
    </font>
    <font>
      <b/>
      <sz val="9"/>
      <color theme="0"/>
      <name val="Arial"/>
      <family val="2"/>
    </font>
    <font>
      <sz val="9"/>
      <color theme="0"/>
      <name val="Arial"/>
      <family val="2"/>
      <scheme val="minor"/>
    </font>
    <font>
      <sz val="9"/>
      <color rgb="FF0000FF"/>
      <name val="Arial"/>
      <family val="2"/>
    </font>
    <font>
      <i/>
      <sz val="9"/>
      <name val="Arial"/>
      <family val="2"/>
    </font>
    <font>
      <b/>
      <sz val="9"/>
      <color indexed="81"/>
      <name val="Segoe UI"/>
      <family val="2"/>
    </font>
    <font>
      <i/>
      <sz val="8"/>
      <color theme="2"/>
      <name val="Arial"/>
      <family val="2"/>
      <scheme val="minor"/>
    </font>
    <font>
      <i/>
      <sz val="8"/>
      <color rgb="FF00B050"/>
      <name val="Arial"/>
      <family val="2"/>
      <scheme val="minor"/>
    </font>
    <font>
      <sz val="8"/>
      <color rgb="FFC00000"/>
      <name val="Arial"/>
      <family val="2"/>
    </font>
    <font>
      <b/>
      <sz val="10"/>
      <color theme="0"/>
      <name val="Arial"/>
      <family val="2"/>
      <scheme val="minor"/>
    </font>
    <font>
      <b/>
      <sz val="9"/>
      <color theme="2"/>
      <name val="Arial"/>
      <family val="2"/>
      <scheme val="minor"/>
    </font>
    <font>
      <b/>
      <sz val="8"/>
      <color theme="0"/>
      <name val="Arial"/>
      <family val="2"/>
      <scheme val="minor"/>
    </font>
    <font>
      <b/>
      <sz val="12"/>
      <color theme="1"/>
      <name val="Arial"/>
      <family val="2"/>
      <scheme val="minor"/>
    </font>
    <font>
      <sz val="10"/>
      <color rgb="FF00B050"/>
      <name val="Webdings"/>
      <family val="1"/>
      <charset val="2"/>
    </font>
    <font>
      <sz val="11"/>
      <color theme="2"/>
      <name val="Arial"/>
      <family val="2"/>
      <scheme val="minor"/>
    </font>
    <font>
      <b/>
      <sz val="11"/>
      <color rgb="FFBE0F34"/>
      <name val="Arial"/>
      <family val="2"/>
    </font>
    <font>
      <b/>
      <sz val="16"/>
      <color rgb="FF0070C0"/>
      <name val="Webdings"/>
      <family val="1"/>
      <charset val="2"/>
    </font>
    <font>
      <sz val="9"/>
      <name val="Arial"/>
      <family val="2"/>
      <scheme val="minor"/>
    </font>
    <font>
      <b/>
      <sz val="9"/>
      <color indexed="81"/>
      <name val="Arial"/>
      <family val="2"/>
    </font>
  </fonts>
  <fills count="25">
    <fill>
      <patternFill patternType="none"/>
    </fill>
    <fill>
      <patternFill patternType="gray125"/>
    </fill>
    <fill>
      <patternFill patternType="solid">
        <fgColor rgb="FFDDDDDD"/>
        <bgColor indexed="64"/>
      </patternFill>
    </fill>
    <fill>
      <patternFill patternType="solid">
        <fgColor rgb="FFBE0F34"/>
        <bgColor indexed="64"/>
      </patternFill>
    </fill>
    <fill>
      <patternFill patternType="solid">
        <fgColor rgb="FFEAEAEA"/>
        <bgColor indexed="64"/>
      </patternFill>
    </fill>
    <fill>
      <patternFill patternType="solid">
        <fgColor indexed="46"/>
        <bgColor indexed="64"/>
      </patternFill>
    </fill>
    <fill>
      <patternFill patternType="solid">
        <fgColor indexed="42"/>
        <bgColor indexed="64"/>
      </patternFill>
    </fill>
    <fill>
      <patternFill patternType="solid">
        <fgColor rgb="FFCCFFCC"/>
        <bgColor indexed="64"/>
      </patternFill>
    </fill>
    <fill>
      <patternFill patternType="solid">
        <fgColor rgb="FFF3F3F3"/>
        <bgColor indexed="64"/>
      </patternFill>
    </fill>
    <fill>
      <patternFill patternType="solid">
        <fgColor indexed="62"/>
        <bgColor indexed="64"/>
      </patternFill>
    </fill>
    <fill>
      <patternFill patternType="solid">
        <fgColor indexed="58"/>
        <bgColor indexed="64"/>
      </patternFill>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5" tint="-9.9978637043366805E-2"/>
        <bgColor indexed="64"/>
      </patternFill>
    </fill>
    <fill>
      <patternFill patternType="solid">
        <fgColor rgb="FFFCE4D6"/>
        <bgColor indexed="64"/>
      </patternFill>
    </fill>
    <fill>
      <patternFill patternType="solid">
        <fgColor rgb="FFFFF2CC"/>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CFFFF"/>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C00000"/>
        <bgColor indexed="64"/>
      </patternFill>
    </fill>
    <fill>
      <patternFill patternType="solid">
        <fgColor theme="8" tint="0.79998168889431442"/>
        <bgColor indexed="64"/>
      </patternFill>
    </fill>
  </fills>
  <borders count="166">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right/>
      <top/>
      <bottom style="thin">
        <color auto="1"/>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diagonalDown="1">
      <left style="thin">
        <color indexed="64"/>
      </left>
      <right/>
      <top style="thin">
        <color indexed="64"/>
      </top>
      <bottom/>
      <diagonal style="thin">
        <color auto="1"/>
      </diagonal>
    </border>
    <border diagonalDown="1">
      <left/>
      <right style="thin">
        <color indexed="64"/>
      </right>
      <top/>
      <bottom style="thin">
        <color indexed="64"/>
      </bottom>
      <diagonal style="thin">
        <color auto="1"/>
      </diagonal>
    </border>
    <border diagonalUp="1">
      <left style="thin">
        <color indexed="64"/>
      </left>
      <right/>
      <top/>
      <bottom style="thin">
        <color indexed="64"/>
      </bottom>
      <diagonal style="thin">
        <color auto="1"/>
      </diagonal>
    </border>
    <border diagonalUp="1">
      <left/>
      <right style="thin">
        <color indexed="64"/>
      </right>
      <top style="thin">
        <color indexed="64"/>
      </top>
      <bottom/>
      <diagonal style="thin">
        <color auto="1"/>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top style="thick">
        <color indexed="60"/>
      </top>
      <bottom/>
      <diagonal/>
    </border>
    <border>
      <left/>
      <right style="thick">
        <color indexed="60"/>
      </right>
      <top/>
      <bottom style="thick">
        <color indexed="60"/>
      </bottom>
      <diagonal/>
    </border>
    <border>
      <left/>
      <right/>
      <top/>
      <bottom style="thick">
        <color indexed="60"/>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right/>
      <top style="thin">
        <color indexed="64"/>
      </top>
      <bottom/>
      <diagonal/>
    </border>
    <border>
      <left style="double">
        <color rgb="FF0000FF"/>
      </left>
      <right style="double">
        <color rgb="FF0000FF"/>
      </right>
      <top style="double">
        <color rgb="FF0000FF"/>
      </top>
      <bottom style="double">
        <color rgb="FF0000FF"/>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diagonal/>
    </border>
    <border>
      <left style="thin">
        <color auto="1"/>
      </left>
      <right style="thin">
        <color auto="1"/>
      </right>
      <top style="thin">
        <color auto="1"/>
      </top>
      <bottom/>
      <diagonal/>
    </border>
    <border>
      <left/>
      <right/>
      <top style="thin">
        <color indexed="64"/>
      </top>
      <bottom style="thin">
        <color indexed="64"/>
      </bottom>
      <diagonal/>
    </border>
    <border>
      <left/>
      <right/>
      <top/>
      <bottom style="double">
        <color indexed="64"/>
      </bottom>
      <diagonal/>
    </border>
    <border>
      <left/>
      <right/>
      <top/>
      <bottom style="thick">
        <color theme="4"/>
      </bottom>
      <diagonal/>
    </border>
    <border>
      <left/>
      <right/>
      <top/>
      <bottom style="hair">
        <color auto="1"/>
      </bottom>
      <diagonal/>
    </border>
    <border>
      <left style="thin">
        <color indexed="64"/>
      </left>
      <right/>
      <top style="thin">
        <color indexed="64"/>
      </top>
      <bottom/>
      <diagonal/>
    </border>
    <border>
      <left style="thick">
        <color theme="4"/>
      </left>
      <right/>
      <top style="thick">
        <color theme="4"/>
      </top>
      <bottom/>
      <diagonal/>
    </border>
    <border>
      <left style="thick">
        <color theme="4"/>
      </left>
      <right/>
      <top style="thick">
        <color theme="4"/>
      </top>
      <bottom style="thin">
        <color indexed="64"/>
      </bottom>
      <diagonal/>
    </border>
    <border>
      <left/>
      <right/>
      <top style="thick">
        <color theme="4"/>
      </top>
      <bottom style="thin">
        <color indexed="64"/>
      </bottom>
      <diagonal/>
    </border>
    <border>
      <left/>
      <right style="thick">
        <color theme="4"/>
      </right>
      <top style="thick">
        <color theme="4"/>
      </top>
      <bottom style="thin">
        <color indexed="64"/>
      </bottom>
      <diagonal/>
    </border>
    <border>
      <left style="thick">
        <color theme="4"/>
      </left>
      <right/>
      <top style="thin">
        <color indexed="64"/>
      </top>
      <bottom style="thin">
        <color indexed="64"/>
      </bottom>
      <diagonal/>
    </border>
    <border>
      <left style="thin">
        <color indexed="64"/>
      </left>
      <right style="thick">
        <color theme="4"/>
      </right>
      <top style="thin">
        <color indexed="64"/>
      </top>
      <bottom style="thin">
        <color indexed="64"/>
      </bottom>
      <diagonal/>
    </border>
    <border>
      <left style="thin">
        <color indexed="64"/>
      </left>
      <right style="thick">
        <color theme="4"/>
      </right>
      <top/>
      <bottom style="thin">
        <color indexed="64"/>
      </bottom>
      <diagonal/>
    </border>
    <border>
      <left style="thick">
        <color theme="4"/>
      </left>
      <right/>
      <top/>
      <bottom/>
      <diagonal/>
    </border>
    <border>
      <left style="thick">
        <color theme="4"/>
      </left>
      <right/>
      <top/>
      <bottom style="thin">
        <color indexed="64"/>
      </bottom>
      <diagonal/>
    </border>
    <border>
      <left style="thick">
        <color theme="4"/>
      </left>
      <right/>
      <top style="thin">
        <color indexed="64"/>
      </top>
      <bottom style="thick">
        <color theme="4"/>
      </bottom>
      <diagonal/>
    </border>
    <border>
      <left/>
      <right/>
      <top style="thin">
        <color indexed="64"/>
      </top>
      <bottom style="thick">
        <color theme="4"/>
      </bottom>
      <diagonal/>
    </border>
    <border>
      <left style="thin">
        <color indexed="64"/>
      </left>
      <right style="thick">
        <color theme="4"/>
      </right>
      <top style="thin">
        <color indexed="64"/>
      </top>
      <bottom style="thick">
        <color theme="4"/>
      </bottom>
      <diagonal/>
    </border>
    <border>
      <left/>
      <right/>
      <top style="thick">
        <color theme="4"/>
      </top>
      <bottom/>
      <diagonal/>
    </border>
    <border>
      <left/>
      <right style="thick">
        <color theme="4"/>
      </right>
      <top style="thick">
        <color theme="4"/>
      </top>
      <bottom/>
      <diagonal/>
    </border>
    <border>
      <left style="thick">
        <color theme="4"/>
      </left>
      <right/>
      <top/>
      <bottom style="thick">
        <color theme="4"/>
      </bottom>
      <diagonal/>
    </border>
    <border>
      <left/>
      <right style="thick">
        <color theme="4"/>
      </right>
      <top/>
      <bottom style="thick">
        <color theme="4"/>
      </bottom>
      <diagonal/>
    </border>
    <border>
      <left/>
      <right style="thin">
        <color auto="1"/>
      </right>
      <top style="thin">
        <color auto="1"/>
      </top>
      <bottom/>
      <diagonal/>
    </border>
    <border>
      <left style="thin">
        <color indexed="64"/>
      </left>
      <right style="thin">
        <color indexed="64"/>
      </right>
      <top style="thin">
        <color indexed="64"/>
      </top>
      <bottom/>
      <diagonal/>
    </border>
    <border>
      <left style="thick">
        <color indexed="60"/>
      </left>
      <right/>
      <top style="thick">
        <color indexed="60"/>
      </top>
      <bottom/>
      <diagonal/>
    </border>
    <border>
      <left/>
      <right style="thick">
        <color indexed="60"/>
      </right>
      <top style="thick">
        <color indexed="60"/>
      </top>
      <bottom/>
      <diagonal/>
    </border>
    <border>
      <left style="thick">
        <color indexed="60"/>
      </left>
      <right/>
      <top/>
      <bottom style="thick">
        <color indexed="60"/>
      </bottom>
      <diagonal/>
    </border>
    <border>
      <left style="thick">
        <color indexed="60"/>
      </left>
      <right style="thin">
        <color indexed="18"/>
      </right>
      <top style="thick">
        <color indexed="60"/>
      </top>
      <bottom style="thin">
        <color indexed="60"/>
      </bottom>
      <diagonal/>
    </border>
    <border>
      <left style="thin">
        <color indexed="18"/>
      </left>
      <right style="thin">
        <color indexed="18"/>
      </right>
      <top style="thick">
        <color indexed="60"/>
      </top>
      <bottom style="thin">
        <color indexed="60"/>
      </bottom>
      <diagonal/>
    </border>
    <border>
      <left style="thin">
        <color indexed="18"/>
      </left>
      <right/>
      <top style="thick">
        <color indexed="60"/>
      </top>
      <bottom style="thin">
        <color indexed="60"/>
      </bottom>
      <diagonal/>
    </border>
    <border>
      <left/>
      <right/>
      <top style="thick">
        <color indexed="60"/>
      </top>
      <bottom style="thin">
        <color indexed="60"/>
      </bottom>
      <diagonal/>
    </border>
    <border>
      <left/>
      <right style="thick">
        <color indexed="60"/>
      </right>
      <top style="thick">
        <color indexed="60"/>
      </top>
      <bottom style="thin">
        <color indexed="60"/>
      </bottom>
      <diagonal/>
    </border>
    <border>
      <left style="thick">
        <color indexed="60"/>
      </left>
      <right style="thin">
        <color indexed="60"/>
      </right>
      <top style="thin">
        <color indexed="60"/>
      </top>
      <bottom style="thin">
        <color indexed="60"/>
      </bottom>
      <diagonal/>
    </border>
    <border>
      <left style="thin">
        <color indexed="60"/>
      </left>
      <right style="thin">
        <color indexed="60"/>
      </right>
      <top style="thin">
        <color indexed="60"/>
      </top>
      <bottom style="thin">
        <color indexed="60"/>
      </bottom>
      <diagonal/>
    </border>
    <border>
      <left style="thin">
        <color indexed="60"/>
      </left>
      <right style="thick">
        <color indexed="60"/>
      </right>
      <top style="thin">
        <color indexed="60"/>
      </top>
      <bottom style="thin">
        <color indexed="60"/>
      </bottom>
      <diagonal/>
    </border>
    <border>
      <left style="thin">
        <color indexed="60"/>
      </left>
      <right/>
      <top style="thin">
        <color indexed="60"/>
      </top>
      <bottom style="thin">
        <color indexed="60"/>
      </bottom>
      <diagonal/>
    </border>
    <border>
      <left/>
      <right/>
      <top style="thin">
        <color indexed="60"/>
      </top>
      <bottom style="thin">
        <color indexed="60"/>
      </bottom>
      <diagonal/>
    </border>
    <border>
      <left/>
      <right style="thick">
        <color indexed="60"/>
      </right>
      <top style="thin">
        <color indexed="60"/>
      </top>
      <bottom style="thin">
        <color indexed="60"/>
      </bottom>
      <diagonal/>
    </border>
    <border>
      <left style="thick">
        <color indexed="60"/>
      </left>
      <right style="thin">
        <color indexed="60"/>
      </right>
      <top style="thin">
        <color indexed="60"/>
      </top>
      <bottom style="thick">
        <color indexed="60"/>
      </bottom>
      <diagonal/>
    </border>
    <border>
      <left style="thin">
        <color indexed="60"/>
      </left>
      <right style="thin">
        <color indexed="60"/>
      </right>
      <top style="thin">
        <color indexed="60"/>
      </top>
      <bottom style="thick">
        <color indexed="60"/>
      </bottom>
      <diagonal/>
    </border>
    <border>
      <left style="thin">
        <color indexed="60"/>
      </left>
      <right style="thick">
        <color indexed="60"/>
      </right>
      <top style="thin">
        <color indexed="60"/>
      </top>
      <bottom style="thick">
        <color indexed="60"/>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right/>
      <top style="thin">
        <color auto="1"/>
      </top>
      <bottom/>
      <diagonal/>
    </border>
    <border>
      <left style="thin">
        <color auto="1"/>
      </left>
      <right/>
      <top style="thin">
        <color auto="1"/>
      </top>
      <bottom/>
      <diagonal/>
    </border>
    <border>
      <left style="double">
        <color rgb="FF0000FF"/>
      </left>
      <right/>
      <top style="double">
        <color rgb="FF0000FF"/>
      </top>
      <bottom style="double">
        <color rgb="FF0000FF"/>
      </bottom>
      <diagonal/>
    </border>
    <border>
      <left/>
      <right/>
      <top style="hair">
        <color auto="1"/>
      </top>
      <bottom/>
      <diagonal/>
    </border>
    <border>
      <left/>
      <right style="thin">
        <color indexed="64"/>
      </right>
      <top style="thin">
        <color indexed="64"/>
      </top>
      <bottom style="thick">
        <color theme="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ck">
        <color theme="4"/>
      </right>
      <top style="thin">
        <color indexed="64"/>
      </top>
      <bottom/>
      <diagonal/>
    </border>
    <border>
      <left style="thick">
        <color theme="4"/>
      </left>
      <right/>
      <top style="thin">
        <color indexed="64"/>
      </top>
      <bottom/>
      <diagonal/>
    </border>
    <border>
      <left/>
      <right style="thick">
        <color theme="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indexed="64"/>
      </left>
      <right style="thick">
        <color theme="4"/>
      </right>
      <top style="thin">
        <color indexed="64"/>
      </top>
      <bottom style="thin">
        <color indexed="64"/>
      </bottom>
      <diagonal/>
    </border>
    <border>
      <left style="thick">
        <color theme="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ck">
        <color theme="0" tint="-0.499984740745262"/>
      </left>
      <right style="thin">
        <color auto="1"/>
      </right>
      <top style="thick">
        <color theme="0" tint="-0.499984740745262"/>
      </top>
      <bottom style="thin">
        <color auto="1"/>
      </bottom>
      <diagonal/>
    </border>
    <border>
      <left style="thin">
        <color auto="1"/>
      </left>
      <right style="thin">
        <color auto="1"/>
      </right>
      <top style="thick">
        <color theme="0" tint="-0.499984740745262"/>
      </top>
      <bottom style="thin">
        <color auto="1"/>
      </bottom>
      <diagonal/>
    </border>
    <border>
      <left style="thin">
        <color auto="1"/>
      </left>
      <right style="thick">
        <color theme="0" tint="-0.499984740745262"/>
      </right>
      <top style="thick">
        <color theme="0" tint="-0.499984740745262"/>
      </top>
      <bottom style="thin">
        <color auto="1"/>
      </bottom>
      <diagonal/>
    </border>
    <border>
      <left style="thick">
        <color theme="0" tint="-0.499984740745262"/>
      </left>
      <right style="thin">
        <color auto="1"/>
      </right>
      <top style="thin">
        <color auto="1"/>
      </top>
      <bottom style="thin">
        <color auto="1"/>
      </bottom>
      <diagonal/>
    </border>
    <border>
      <left style="thin">
        <color auto="1"/>
      </left>
      <right style="thick">
        <color theme="0" tint="-0.499984740745262"/>
      </right>
      <top style="thin">
        <color auto="1"/>
      </top>
      <bottom style="thin">
        <color auto="1"/>
      </bottom>
      <diagonal/>
    </border>
    <border>
      <left style="thick">
        <color theme="0" tint="-0.499984740745262"/>
      </left>
      <right style="thin">
        <color auto="1"/>
      </right>
      <top style="thin">
        <color auto="1"/>
      </top>
      <bottom style="thick">
        <color theme="0" tint="-0.499984740745262"/>
      </bottom>
      <diagonal/>
    </border>
    <border>
      <left style="thin">
        <color auto="1"/>
      </left>
      <right style="thin">
        <color auto="1"/>
      </right>
      <top style="thin">
        <color auto="1"/>
      </top>
      <bottom style="thick">
        <color theme="0" tint="-0.499984740745262"/>
      </bottom>
      <diagonal/>
    </border>
    <border>
      <left style="thin">
        <color auto="1"/>
      </left>
      <right style="thick">
        <color theme="0" tint="-0.499984740745262"/>
      </right>
      <top style="thin">
        <color auto="1"/>
      </top>
      <bottom style="thick">
        <color theme="0" tint="-0.499984740745262"/>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double">
        <color rgb="FF0000FF"/>
      </right>
      <top style="double">
        <color rgb="FF0000FF"/>
      </top>
      <bottom style="double">
        <color rgb="FF0000FF"/>
      </bottom>
      <diagonal/>
    </border>
    <border>
      <left style="thin">
        <color auto="1"/>
      </left>
      <right style="thin">
        <color auto="1"/>
      </right>
      <top style="thin">
        <color auto="1"/>
      </top>
      <bottom style="thin">
        <color auto="1"/>
      </bottom>
      <diagonal/>
    </border>
  </borders>
  <cellStyleXfs count="5">
    <xf numFmtId="0" fontId="0" fillId="0" borderId="0"/>
    <xf numFmtId="0" fontId="3" fillId="8" borderId="4" applyNumberFormat="0" applyFont="0" applyBorder="0" applyAlignment="0" applyProtection="0">
      <alignment vertical="center"/>
      <protection hidden="1"/>
    </xf>
    <xf numFmtId="0" fontId="3" fillId="0" borderId="4" applyNumberFormat="0" applyFont="0" applyBorder="0" applyAlignment="0" applyProtection="0">
      <alignment vertical="center"/>
      <protection hidden="1"/>
    </xf>
    <xf numFmtId="0" fontId="40" fillId="0" borderId="0"/>
    <xf numFmtId="0" fontId="3" fillId="0" borderId="0"/>
  </cellStyleXfs>
  <cellXfs count="1544">
    <xf numFmtId="0" fontId="0" fillId="0" borderId="0" xfId="0"/>
    <xf numFmtId="0" fontId="1" fillId="0" borderId="0" xfId="0" applyFont="1" applyAlignment="1" applyProtection="1">
      <alignment vertical="center"/>
      <protection hidden="1"/>
    </xf>
    <xf numFmtId="0" fontId="1" fillId="2" borderId="1" xfId="0" applyFont="1" applyFill="1" applyBorder="1" applyAlignment="1" applyProtection="1">
      <alignment vertical="center"/>
      <protection hidden="1"/>
    </xf>
    <xf numFmtId="0" fontId="1" fillId="2" borderId="2" xfId="0" applyFont="1" applyFill="1" applyBorder="1" applyAlignment="1" applyProtection="1">
      <alignment vertical="center"/>
      <protection hidden="1"/>
    </xf>
    <xf numFmtId="0" fontId="1" fillId="2" borderId="4" xfId="0" applyFont="1" applyFill="1" applyBorder="1" applyAlignment="1" applyProtection="1">
      <alignment vertical="center"/>
      <protection hidden="1"/>
    </xf>
    <xf numFmtId="0" fontId="9" fillId="3" borderId="2" xfId="0" applyFont="1" applyFill="1" applyBorder="1" applyAlignment="1" applyProtection="1">
      <alignment horizontal="right" vertical="center"/>
      <protection hidden="1"/>
    </xf>
    <xf numFmtId="0" fontId="9" fillId="3" borderId="7" xfId="0" applyFont="1" applyFill="1" applyBorder="1" applyAlignment="1" applyProtection="1">
      <alignment horizontal="right" vertical="center"/>
      <protection hidden="1"/>
    </xf>
    <xf numFmtId="165" fontId="1" fillId="0" borderId="0" xfId="0" applyNumberFormat="1" applyFont="1" applyAlignment="1" applyProtection="1">
      <alignment vertical="center"/>
      <protection hidden="1"/>
    </xf>
    <xf numFmtId="0" fontId="1" fillId="2" borderId="6" xfId="0" applyFont="1" applyFill="1" applyBorder="1" applyAlignment="1" applyProtection="1">
      <alignment vertical="center"/>
      <protection hidden="1"/>
    </xf>
    <xf numFmtId="0" fontId="1" fillId="2" borderId="7" xfId="0" applyFont="1" applyFill="1" applyBorder="1" applyAlignment="1" applyProtection="1">
      <alignment vertical="center"/>
      <protection hidden="1"/>
    </xf>
    <xf numFmtId="0" fontId="1" fillId="0" borderId="0" xfId="0" quotePrefix="1" applyFont="1" applyAlignment="1" applyProtection="1">
      <alignment vertical="center"/>
      <protection hidden="1"/>
    </xf>
    <xf numFmtId="0" fontId="17" fillId="0" borderId="0" xfId="0" applyFont="1" applyAlignment="1" applyProtection="1">
      <alignment vertical="center"/>
      <protection hidden="1"/>
    </xf>
    <xf numFmtId="0" fontId="11" fillId="0" borderId="0" xfId="0" applyFont="1" applyAlignment="1" applyProtection="1">
      <alignment vertical="center"/>
      <protection hidden="1"/>
    </xf>
    <xf numFmtId="0" fontId="17" fillId="0" borderId="0" xfId="0" applyFont="1" applyFill="1" applyAlignment="1" applyProtection="1">
      <alignment vertical="center"/>
      <protection hidden="1"/>
    </xf>
    <xf numFmtId="0" fontId="11" fillId="0" borderId="0" xfId="0" applyFont="1" applyFill="1" applyAlignment="1" applyProtection="1">
      <alignment vertical="center"/>
      <protection hidden="1"/>
    </xf>
    <xf numFmtId="165" fontId="1" fillId="0" borderId="0" xfId="0" applyNumberFormat="1" applyFont="1" applyAlignment="1" applyProtection="1">
      <alignment vertical="center"/>
      <protection hidden="1"/>
    </xf>
    <xf numFmtId="0" fontId="1" fillId="0" borderId="0" xfId="0" applyFont="1" applyAlignment="1" applyProtection="1">
      <alignment vertical="center"/>
      <protection hidden="1"/>
    </xf>
    <xf numFmtId="0" fontId="32" fillId="3" borderId="2" xfId="0" applyFont="1" applyFill="1" applyBorder="1" applyAlignment="1" applyProtection="1">
      <alignment horizontal="right" vertical="center"/>
      <protection hidden="1"/>
    </xf>
    <xf numFmtId="0" fontId="32" fillId="3" borderId="3" xfId="0" applyFont="1" applyFill="1" applyBorder="1" applyAlignment="1" applyProtection="1">
      <alignment horizontal="right" vertical="center"/>
      <protection hidden="1"/>
    </xf>
    <xf numFmtId="0" fontId="32" fillId="3" borderId="13" xfId="0" applyFont="1" applyFill="1" applyBorder="1" applyAlignment="1" applyProtection="1">
      <alignment horizontal="right" vertical="center"/>
      <protection hidden="1"/>
    </xf>
    <xf numFmtId="0" fontId="32" fillId="3" borderId="14" xfId="0" applyFont="1" applyFill="1" applyBorder="1" applyAlignment="1" applyProtection="1">
      <alignment horizontal="right" vertical="center"/>
      <protection hidden="1"/>
    </xf>
    <xf numFmtId="0" fontId="29" fillId="0" borderId="0" xfId="0" applyFont="1" applyAlignment="1" applyProtection="1">
      <alignment vertical="center"/>
      <protection hidden="1"/>
    </xf>
    <xf numFmtId="0" fontId="29" fillId="2" borderId="22" xfId="0" applyFont="1" applyFill="1" applyBorder="1" applyAlignment="1" applyProtection="1">
      <alignment vertical="center"/>
      <protection hidden="1"/>
    </xf>
    <xf numFmtId="0" fontId="29" fillId="2" borderId="2" xfId="0" applyFont="1" applyFill="1" applyBorder="1" applyAlignment="1" applyProtection="1">
      <alignment vertical="center"/>
      <protection hidden="1"/>
    </xf>
    <xf numFmtId="0" fontId="29" fillId="2" borderId="25" xfId="0" applyFont="1" applyFill="1" applyBorder="1" applyAlignment="1" applyProtection="1">
      <alignment vertical="center"/>
      <protection hidden="1"/>
    </xf>
    <xf numFmtId="0" fontId="29" fillId="2" borderId="4" xfId="0" applyFont="1" applyFill="1" applyBorder="1" applyAlignment="1" applyProtection="1">
      <alignment vertical="center"/>
      <protection hidden="1"/>
    </xf>
    <xf numFmtId="0" fontId="29" fillId="2" borderId="5" xfId="0" applyFont="1" applyFill="1" applyBorder="1" applyAlignment="1" applyProtection="1">
      <alignment vertical="center"/>
      <protection hidden="1"/>
    </xf>
    <xf numFmtId="0" fontId="29" fillId="2" borderId="24" xfId="0" applyFont="1" applyFill="1" applyBorder="1" applyAlignment="1" applyProtection="1">
      <alignment vertical="center"/>
      <protection hidden="1"/>
    </xf>
    <xf numFmtId="0" fontId="29" fillId="2" borderId="13" xfId="0" applyFont="1" applyFill="1" applyBorder="1" applyAlignment="1" applyProtection="1">
      <alignment vertical="center"/>
      <protection hidden="1"/>
    </xf>
    <xf numFmtId="0" fontId="29" fillId="2" borderId="23" xfId="0" applyFont="1" applyFill="1" applyBorder="1" applyAlignment="1" applyProtection="1">
      <alignment vertical="center"/>
      <protection hidden="1"/>
    </xf>
    <xf numFmtId="0" fontId="3" fillId="0" borderId="0" xfId="4" applyAlignment="1" applyProtection="1">
      <alignment vertical="center"/>
      <protection locked="0"/>
    </xf>
    <xf numFmtId="0" fontId="15" fillId="0" borderId="0" xfId="4" applyFont="1" applyAlignment="1" applyProtection="1">
      <alignment vertical="center"/>
      <protection locked="0"/>
    </xf>
    <xf numFmtId="0" fontId="42" fillId="0" borderId="0" xfId="4" applyFont="1" applyAlignment="1" applyProtection="1">
      <alignment vertical="center"/>
      <protection hidden="1"/>
    </xf>
    <xf numFmtId="0" fontId="42" fillId="0" borderId="0" xfId="4" applyFont="1" applyAlignment="1" applyProtection="1">
      <alignment horizontal="center" vertical="center"/>
      <protection hidden="1"/>
    </xf>
    <xf numFmtId="49" fontId="42" fillId="0" borderId="0" xfId="4" applyNumberFormat="1" applyFont="1" applyAlignment="1" applyProtection="1">
      <alignment horizontal="center" vertical="center"/>
      <protection hidden="1"/>
    </xf>
    <xf numFmtId="14" fontId="42" fillId="0" borderId="0" xfId="4" applyNumberFormat="1" applyFont="1" applyAlignment="1" applyProtection="1">
      <alignment horizontal="center" vertical="center"/>
      <protection hidden="1"/>
    </xf>
    <xf numFmtId="0" fontId="42" fillId="0" borderId="31" xfId="4" applyFont="1" applyBorder="1" applyAlignment="1" applyProtection="1">
      <alignment vertical="center"/>
      <protection hidden="1"/>
    </xf>
    <xf numFmtId="0" fontId="42" fillId="0" borderId="31" xfId="4" applyFont="1" applyBorder="1" applyAlignment="1" applyProtection="1">
      <alignment horizontal="center" vertical="center"/>
      <protection hidden="1"/>
    </xf>
    <xf numFmtId="49" fontId="42" fillId="0" borderId="31" xfId="4" applyNumberFormat="1" applyFont="1" applyBorder="1" applyAlignment="1" applyProtection="1">
      <alignment horizontal="center" vertical="center"/>
      <protection hidden="1"/>
    </xf>
    <xf numFmtId="14" fontId="42" fillId="0" borderId="31" xfId="4" applyNumberFormat="1" applyFont="1" applyBorder="1" applyAlignment="1" applyProtection="1">
      <alignment horizontal="center" vertical="center"/>
      <protection hidden="1"/>
    </xf>
    <xf numFmtId="49" fontId="42" fillId="0" borderId="0" xfId="4" applyNumberFormat="1" applyFont="1" applyBorder="1" applyAlignment="1" applyProtection="1">
      <alignment horizontal="center" vertical="center"/>
      <protection hidden="1"/>
    </xf>
    <xf numFmtId="49" fontId="8" fillId="0" borderId="0" xfId="4" applyNumberFormat="1" applyFont="1" applyFill="1" applyBorder="1" applyAlignment="1" applyProtection="1">
      <alignment horizontal="center" vertical="center" wrapText="1"/>
      <protection hidden="1"/>
    </xf>
    <xf numFmtId="49" fontId="8" fillId="0" borderId="0" xfId="4" applyNumberFormat="1" applyFont="1" applyFill="1" applyBorder="1" applyAlignment="1" applyProtection="1">
      <alignment horizontal="right" vertical="center" wrapText="1"/>
      <protection hidden="1"/>
    </xf>
    <xf numFmtId="49" fontId="43" fillId="0" borderId="0" xfId="4" applyNumberFormat="1" applyFont="1" applyFill="1" applyBorder="1" applyAlignment="1" applyProtection="1">
      <alignment horizontal="center" vertical="center"/>
      <protection hidden="1"/>
    </xf>
    <xf numFmtId="14" fontId="8" fillId="0" borderId="0" xfId="4" applyNumberFormat="1" applyFont="1" applyFill="1" applyBorder="1" applyAlignment="1" applyProtection="1">
      <alignment horizontal="center" vertical="center" wrapText="1"/>
      <protection hidden="1"/>
    </xf>
    <xf numFmtId="14" fontId="15" fillId="0" borderId="0" xfId="4" applyNumberFormat="1" applyFont="1" applyFill="1" applyBorder="1" applyAlignment="1" applyProtection="1">
      <alignment horizontal="right" vertical="center"/>
      <protection hidden="1"/>
    </xf>
    <xf numFmtId="0" fontId="42" fillId="0" borderId="0" xfId="4" applyFont="1" applyBorder="1" applyAlignment="1" applyProtection="1">
      <alignment vertical="center"/>
      <protection hidden="1"/>
    </xf>
    <xf numFmtId="0" fontId="42" fillId="0" borderId="0" xfId="4" applyFont="1" applyFill="1" applyBorder="1" applyAlignment="1" applyProtection="1">
      <alignment vertical="center"/>
      <protection hidden="1"/>
    </xf>
    <xf numFmtId="49" fontId="42" fillId="0" borderId="0" xfId="4" applyNumberFormat="1" applyFont="1" applyFill="1" applyBorder="1" applyAlignment="1" applyProtection="1">
      <alignment horizontal="center" vertical="center"/>
      <protection hidden="1"/>
    </xf>
    <xf numFmtId="14" fontId="42" fillId="0" borderId="0" xfId="4" applyNumberFormat="1" applyFont="1" applyFill="1" applyBorder="1" applyAlignment="1" applyProtection="1">
      <alignment horizontal="center" vertical="center"/>
      <protection hidden="1"/>
    </xf>
    <xf numFmtId="0" fontId="46" fillId="0" borderId="0" xfId="4" applyFont="1" applyFill="1" applyBorder="1" applyAlignment="1" applyProtection="1">
      <alignment horizontal="center" vertical="center"/>
      <protection hidden="1"/>
    </xf>
    <xf numFmtId="0" fontId="42" fillId="0" borderId="0" xfId="4" applyFont="1" applyFill="1" applyAlignment="1" applyProtection="1">
      <alignment vertical="center"/>
      <protection hidden="1"/>
    </xf>
    <xf numFmtId="14" fontId="42" fillId="0" borderId="0" xfId="4" applyNumberFormat="1" applyFont="1" applyFill="1" applyAlignment="1" applyProtection="1">
      <alignment horizontal="center" vertical="center"/>
      <protection hidden="1"/>
    </xf>
    <xf numFmtId="0" fontId="15" fillId="0" borderId="0" xfId="4" applyFont="1" applyAlignment="1" applyProtection="1">
      <alignment horizontal="center" vertical="center"/>
      <protection hidden="1"/>
    </xf>
    <xf numFmtId="0" fontId="15" fillId="0" borderId="0" xfId="4" applyFont="1" applyAlignment="1" applyProtection="1">
      <alignment vertical="center"/>
      <protection hidden="1"/>
    </xf>
    <xf numFmtId="0" fontId="15" fillId="0" borderId="0" xfId="4" applyFont="1" applyFill="1" applyBorder="1" applyAlignment="1" applyProtection="1">
      <alignment horizontal="center" vertical="center"/>
      <protection hidden="1"/>
    </xf>
    <xf numFmtId="0" fontId="15" fillId="0" borderId="0" xfId="4" applyFont="1" applyFill="1" applyBorder="1" applyAlignment="1" applyProtection="1">
      <alignment vertical="center"/>
      <protection hidden="1"/>
    </xf>
    <xf numFmtId="0" fontId="15" fillId="0" borderId="0" xfId="4" applyFont="1" applyFill="1" applyAlignment="1" applyProtection="1">
      <alignment horizontal="center" vertical="center"/>
      <protection hidden="1"/>
    </xf>
    <xf numFmtId="0" fontId="15" fillId="0" borderId="0" xfId="4" applyFont="1" applyFill="1" applyAlignment="1" applyProtection="1">
      <alignment vertical="center"/>
      <protection hidden="1"/>
    </xf>
    <xf numFmtId="0" fontId="42" fillId="0" borderId="0" xfId="4" applyFont="1" applyFill="1" applyBorder="1" applyAlignment="1" applyProtection="1">
      <alignment horizontal="right" vertical="center"/>
      <protection hidden="1"/>
    </xf>
    <xf numFmtId="0" fontId="52" fillId="0" borderId="0" xfId="4" applyFont="1" applyFill="1" applyBorder="1" applyAlignment="1" applyProtection="1">
      <alignment horizontal="center" vertical="center"/>
      <protection hidden="1"/>
    </xf>
    <xf numFmtId="0" fontId="43" fillId="0" borderId="0" xfId="4" applyFont="1" applyFill="1" applyBorder="1" applyAlignment="1" applyProtection="1">
      <alignment horizontal="center" vertical="center"/>
      <protection hidden="1"/>
    </xf>
    <xf numFmtId="0" fontId="42" fillId="0" borderId="0" xfId="4" applyFont="1" applyFill="1" applyBorder="1" applyAlignment="1" applyProtection="1">
      <alignment horizontal="left" vertical="center"/>
      <protection hidden="1"/>
    </xf>
    <xf numFmtId="0" fontId="46" fillId="0" borderId="0" xfId="4" applyNumberFormat="1" applyFont="1" applyFill="1" applyBorder="1" applyAlignment="1" applyProtection="1">
      <alignment horizontal="center" vertical="center"/>
      <protection hidden="1"/>
    </xf>
    <xf numFmtId="0" fontId="29" fillId="0" borderId="0" xfId="0" applyFont="1" applyFill="1" applyAlignment="1" applyProtection="1">
      <alignment vertical="center"/>
      <protection hidden="1"/>
    </xf>
    <xf numFmtId="0" fontId="15" fillId="0" borderId="0" xfId="4" applyFont="1" applyFill="1" applyBorder="1" applyAlignment="1" applyProtection="1">
      <alignment vertical="center"/>
      <protection locked="0"/>
    </xf>
    <xf numFmtId="14" fontId="15" fillId="0" borderId="0" xfId="4" applyNumberFormat="1" applyFont="1" applyFill="1" applyBorder="1" applyAlignment="1" applyProtection="1">
      <alignment horizontal="center" vertical="center"/>
      <protection hidden="1"/>
    </xf>
    <xf numFmtId="0" fontId="11" fillId="0" borderId="0" xfId="0" applyFont="1" applyFill="1" applyBorder="1" applyAlignment="1" applyProtection="1">
      <alignment vertical="center"/>
      <protection hidden="1"/>
    </xf>
    <xf numFmtId="0" fontId="1" fillId="0" borderId="0" xfId="0" applyFont="1" applyFill="1" applyAlignment="1" applyProtection="1">
      <alignment vertical="center"/>
      <protection hidden="1"/>
    </xf>
    <xf numFmtId="0" fontId="15" fillId="0" borderId="0" xfId="4" applyFont="1" applyAlignment="1" applyProtection="1">
      <alignment vertical="center"/>
      <protection locked="0" hidden="1"/>
    </xf>
    <xf numFmtId="0" fontId="15" fillId="0" borderId="0" xfId="4" applyFont="1" applyFill="1" applyAlignment="1" applyProtection="1">
      <alignment vertical="center"/>
      <protection locked="0" hidden="1"/>
    </xf>
    <xf numFmtId="0" fontId="15" fillId="7" borderId="15" xfId="4" applyFont="1" applyFill="1" applyBorder="1" applyAlignment="1" applyProtection="1">
      <alignment horizontal="center" vertical="center"/>
      <protection locked="0" hidden="1"/>
    </xf>
    <xf numFmtId="168" fontId="17" fillId="7" borderId="15" xfId="0" applyNumberFormat="1" applyFont="1" applyFill="1" applyBorder="1" applyAlignment="1" applyProtection="1">
      <alignment horizontal="center" vertical="center"/>
      <protection locked="0" hidden="1"/>
    </xf>
    <xf numFmtId="169" fontId="15" fillId="0" borderId="15" xfId="4" applyNumberFormat="1" applyFont="1" applyFill="1" applyBorder="1" applyAlignment="1" applyProtection="1">
      <alignment vertical="center"/>
      <protection locked="0" hidden="1"/>
    </xf>
    <xf numFmtId="0" fontId="15" fillId="0" borderId="15" xfId="0" applyNumberFormat="1" applyFont="1" applyFill="1" applyBorder="1" applyAlignment="1" applyProtection="1">
      <alignment horizontal="center" vertical="center"/>
      <protection locked="0" hidden="1"/>
    </xf>
    <xf numFmtId="0" fontId="15" fillId="0" borderId="15" xfId="0" applyFont="1" applyFill="1" applyBorder="1" applyAlignment="1" applyProtection="1">
      <alignment horizontal="center" vertical="center"/>
      <protection locked="0" hidden="1"/>
    </xf>
    <xf numFmtId="168" fontId="17" fillId="0" borderId="34" xfId="0" applyNumberFormat="1" applyFont="1" applyFill="1" applyBorder="1" applyAlignment="1" applyProtection="1">
      <alignment horizontal="right" vertical="center"/>
      <protection locked="0" hidden="1"/>
    </xf>
    <xf numFmtId="168" fontId="17" fillId="4" borderId="34" xfId="0" applyNumberFormat="1" applyFont="1" applyFill="1" applyBorder="1" applyAlignment="1" applyProtection="1">
      <alignment horizontal="right" vertical="center"/>
      <protection locked="0" hidden="1"/>
    </xf>
    <xf numFmtId="0" fontId="4" fillId="0" borderId="0" xfId="4" applyFont="1" applyAlignment="1" applyProtection="1">
      <alignment vertical="center"/>
      <protection locked="0" hidden="1"/>
    </xf>
    <xf numFmtId="0" fontId="15" fillId="0" borderId="37" xfId="0" applyFont="1" applyFill="1" applyBorder="1" applyAlignment="1" applyProtection="1">
      <alignment horizontal="center" vertical="center"/>
      <protection locked="0" hidden="1"/>
    </xf>
    <xf numFmtId="0" fontId="17" fillId="0" borderId="0" xfId="0" applyFont="1" applyFill="1" applyBorder="1" applyAlignment="1" applyProtection="1">
      <alignment horizontal="left" vertical="center"/>
      <protection locked="0" hidden="1"/>
    </xf>
    <xf numFmtId="168" fontId="17" fillId="0" borderId="0" xfId="0" applyNumberFormat="1" applyFont="1" applyFill="1" applyBorder="1" applyAlignment="1" applyProtection="1">
      <alignment horizontal="right" vertical="center"/>
      <protection locked="0" hidden="1"/>
    </xf>
    <xf numFmtId="0" fontId="17" fillId="0" borderId="0" xfId="0" applyFont="1" applyBorder="1" applyAlignment="1" applyProtection="1">
      <alignment vertical="center"/>
      <protection locked="0" hidden="1"/>
    </xf>
    <xf numFmtId="0" fontId="11" fillId="0" borderId="0" xfId="0" applyFont="1" applyBorder="1" applyAlignment="1" applyProtection="1">
      <alignment vertical="center"/>
      <protection locked="0" hidden="1"/>
    </xf>
    <xf numFmtId="169" fontId="17" fillId="0" borderId="46" xfId="0" applyNumberFormat="1" applyFont="1" applyFill="1" applyBorder="1" applyAlignment="1" applyProtection="1">
      <alignment horizontal="left" vertical="center" indent="1"/>
      <protection locked="0" hidden="1"/>
    </xf>
    <xf numFmtId="0" fontId="42" fillId="0" borderId="0" xfId="4" applyFont="1" applyFill="1" applyBorder="1" applyAlignment="1" applyProtection="1">
      <alignment horizontal="center" vertical="center"/>
      <protection hidden="1"/>
    </xf>
    <xf numFmtId="14" fontId="15" fillId="7" borderId="53" xfId="4" applyNumberFormat="1" applyFont="1" applyFill="1" applyBorder="1" applyAlignment="1" applyProtection="1">
      <alignment horizontal="center" vertical="center"/>
      <protection locked="0" hidden="1"/>
    </xf>
    <xf numFmtId="0" fontId="15" fillId="0" borderId="53" xfId="4" applyFont="1" applyBorder="1" applyAlignment="1" applyProtection="1">
      <alignment vertical="center"/>
      <protection locked="0" hidden="1"/>
    </xf>
    <xf numFmtId="0" fontId="15" fillId="0" borderId="53" xfId="4" applyFont="1" applyBorder="1" applyAlignment="1" applyProtection="1">
      <alignment horizontal="center" vertical="center"/>
      <protection locked="0" hidden="1"/>
    </xf>
    <xf numFmtId="169" fontId="15" fillId="0" borderId="53" xfId="4" applyNumberFormat="1" applyFont="1" applyBorder="1" applyAlignment="1" applyProtection="1">
      <alignment vertical="center"/>
      <protection locked="0" hidden="1"/>
    </xf>
    <xf numFmtId="0" fontId="15" fillId="7" borderId="55" xfId="4" applyFont="1" applyFill="1" applyBorder="1" applyAlignment="1" applyProtection="1">
      <alignment vertical="center"/>
      <protection locked="0" hidden="1"/>
    </xf>
    <xf numFmtId="0" fontId="15" fillId="7" borderId="55" xfId="0" applyFont="1" applyFill="1" applyBorder="1" applyAlignment="1" applyProtection="1">
      <alignment vertical="center"/>
      <protection locked="0" hidden="1"/>
    </xf>
    <xf numFmtId="0" fontId="15" fillId="0" borderId="34" xfId="4" applyFont="1" applyFill="1" applyBorder="1" applyAlignment="1" applyProtection="1">
      <alignment horizontal="center" vertical="center"/>
      <protection locked="0" hidden="1"/>
    </xf>
    <xf numFmtId="0" fontId="17" fillId="0" borderId="49" xfId="0" applyFont="1" applyBorder="1" applyAlignment="1" applyProtection="1">
      <alignment vertical="center"/>
      <protection locked="0" hidden="1"/>
    </xf>
    <xf numFmtId="0" fontId="24" fillId="4" borderId="10" xfId="0" applyFont="1" applyFill="1" applyBorder="1" applyAlignment="1" applyProtection="1">
      <alignment vertical="center"/>
      <protection locked="0" hidden="1"/>
    </xf>
    <xf numFmtId="0" fontId="24" fillId="4" borderId="11" xfId="0" applyFont="1" applyFill="1" applyBorder="1" applyAlignment="1" applyProtection="1">
      <alignment vertical="center"/>
      <protection locked="0" hidden="1"/>
    </xf>
    <xf numFmtId="0" fontId="18" fillId="7" borderId="10" xfId="0" applyFont="1" applyFill="1" applyBorder="1" applyAlignment="1" applyProtection="1">
      <alignment vertical="center"/>
      <protection locked="0" hidden="1"/>
    </xf>
    <xf numFmtId="0" fontId="18" fillId="7" borderId="11" xfId="0" applyFont="1" applyFill="1" applyBorder="1" applyAlignment="1" applyProtection="1">
      <alignment vertical="center"/>
      <protection locked="0" hidden="1"/>
    </xf>
    <xf numFmtId="14" fontId="15" fillId="0" borderId="46" xfId="4" applyNumberFormat="1" applyFont="1" applyBorder="1" applyAlignment="1" applyProtection="1">
      <alignment horizontal="center" vertical="center"/>
      <protection locked="0" hidden="1"/>
    </xf>
    <xf numFmtId="0" fontId="1" fillId="2" borderId="50" xfId="0" applyFont="1" applyFill="1" applyBorder="1" applyAlignment="1" applyProtection="1">
      <alignment vertical="center"/>
      <protection hidden="1"/>
    </xf>
    <xf numFmtId="183" fontId="1" fillId="0" borderId="46" xfId="0" applyNumberFormat="1" applyFont="1" applyFill="1" applyBorder="1" applyAlignment="1" applyProtection="1">
      <alignment vertical="center"/>
      <protection locked="0"/>
    </xf>
    <xf numFmtId="0" fontId="15" fillId="13" borderId="15" xfId="0" applyFont="1" applyFill="1" applyBorder="1" applyAlignment="1" applyProtection="1">
      <alignment horizontal="center" vertical="center"/>
      <protection locked="0" hidden="1"/>
    </xf>
    <xf numFmtId="0" fontId="15" fillId="13" borderId="15" xfId="4" applyFont="1" applyFill="1" applyBorder="1" applyAlignment="1" applyProtection="1">
      <alignment vertical="center"/>
      <protection locked="0" hidden="1"/>
    </xf>
    <xf numFmtId="169" fontId="15" fillId="13" borderId="15" xfId="4" applyNumberFormat="1" applyFont="1" applyFill="1" applyBorder="1" applyAlignment="1" applyProtection="1">
      <alignment vertical="center"/>
      <protection locked="0" hidden="1"/>
    </xf>
    <xf numFmtId="168" fontId="17" fillId="13" borderId="15" xfId="0" applyNumberFormat="1" applyFont="1" applyFill="1" applyBorder="1" applyAlignment="1" applyProtection="1">
      <alignment horizontal="right" vertical="center"/>
      <protection locked="0" hidden="1"/>
    </xf>
    <xf numFmtId="167" fontId="17" fillId="13" borderId="15" xfId="0" applyNumberFormat="1" applyFont="1" applyFill="1" applyBorder="1" applyAlignment="1" applyProtection="1">
      <alignment horizontal="right" vertical="center"/>
      <protection locked="0" hidden="1"/>
    </xf>
    <xf numFmtId="14" fontId="15" fillId="13" borderId="53" xfId="4" applyNumberFormat="1" applyFont="1" applyFill="1" applyBorder="1" applyAlignment="1" applyProtection="1">
      <alignment horizontal="center" vertical="center"/>
      <protection locked="0" hidden="1"/>
    </xf>
    <xf numFmtId="0" fontId="4" fillId="13" borderId="34" xfId="4" applyFont="1" applyFill="1" applyBorder="1" applyAlignment="1" applyProtection="1">
      <alignment vertical="center"/>
      <protection locked="0" hidden="1"/>
    </xf>
    <xf numFmtId="0" fontId="15" fillId="13" borderId="37" xfId="0" applyFont="1" applyFill="1" applyBorder="1" applyAlignment="1" applyProtection="1">
      <alignment horizontal="center" vertical="center"/>
      <protection locked="0" hidden="1"/>
    </xf>
    <xf numFmtId="0" fontId="14" fillId="13" borderId="15" xfId="0" applyFont="1" applyFill="1" applyBorder="1" applyAlignment="1" applyProtection="1">
      <alignment horizontal="center" vertical="center"/>
      <protection locked="0" hidden="1"/>
    </xf>
    <xf numFmtId="0" fontId="4" fillId="13" borderId="15" xfId="0" applyFont="1" applyFill="1" applyBorder="1" applyAlignment="1" applyProtection="1">
      <alignment vertical="center"/>
      <protection locked="0" hidden="1"/>
    </xf>
    <xf numFmtId="0" fontId="15" fillId="13" borderId="53" xfId="4" applyFont="1" applyFill="1" applyBorder="1" applyAlignment="1" applyProtection="1">
      <alignment horizontal="center" vertical="center"/>
      <protection locked="0" hidden="1"/>
    </xf>
    <xf numFmtId="0" fontId="15" fillId="0" borderId="55" xfId="4" applyFont="1" applyBorder="1" applyAlignment="1" applyProtection="1">
      <alignment vertical="center"/>
      <protection hidden="1"/>
    </xf>
    <xf numFmtId="0" fontId="15" fillId="13" borderId="43" xfId="4" applyFont="1" applyFill="1" applyBorder="1" applyAlignment="1" applyProtection="1">
      <alignment vertical="center"/>
      <protection locked="0" hidden="1"/>
    </xf>
    <xf numFmtId="164" fontId="15" fillId="0" borderId="0" xfId="4" applyNumberFormat="1" applyFont="1" applyAlignment="1" applyProtection="1">
      <alignment vertical="center"/>
      <protection locked="0" hidden="1"/>
    </xf>
    <xf numFmtId="168" fontId="18" fillId="13" borderId="34" xfId="0" applyNumberFormat="1" applyFont="1" applyFill="1" applyBorder="1" applyAlignment="1" applyProtection="1">
      <alignment horizontal="right" vertical="center"/>
      <protection locked="0" hidden="1"/>
    </xf>
    <xf numFmtId="168" fontId="17" fillId="13" borderId="34" xfId="0" applyNumberFormat="1" applyFont="1" applyFill="1" applyBorder="1" applyAlignment="1" applyProtection="1">
      <alignment horizontal="right" vertical="center"/>
      <protection locked="0" hidden="1"/>
    </xf>
    <xf numFmtId="168" fontId="4" fillId="13" borderId="48" xfId="0" applyNumberFormat="1" applyFont="1" applyFill="1" applyBorder="1" applyAlignment="1" applyProtection="1">
      <alignment horizontal="right" vertical="center"/>
      <protection locked="0" hidden="1"/>
    </xf>
    <xf numFmtId="168" fontId="18" fillId="13" borderId="16" xfId="0" applyNumberFormat="1" applyFont="1" applyFill="1" applyBorder="1" applyAlignment="1" applyProtection="1">
      <alignment horizontal="right" vertical="center"/>
      <protection locked="0" hidden="1"/>
    </xf>
    <xf numFmtId="168" fontId="17" fillId="13" borderId="18" xfId="0" applyNumberFormat="1" applyFont="1" applyFill="1" applyBorder="1" applyAlignment="1" applyProtection="1">
      <alignment horizontal="right" vertical="center"/>
      <protection locked="0" hidden="1"/>
    </xf>
    <xf numFmtId="168" fontId="18" fillId="13" borderId="17" xfId="0" applyNumberFormat="1" applyFont="1" applyFill="1" applyBorder="1" applyAlignment="1" applyProtection="1">
      <alignment horizontal="right" vertical="center"/>
      <protection locked="0" hidden="1"/>
    </xf>
    <xf numFmtId="168" fontId="18" fillId="13" borderId="15" xfId="0" applyNumberFormat="1" applyFont="1" applyFill="1" applyBorder="1" applyAlignment="1" applyProtection="1">
      <alignment horizontal="right" vertical="center"/>
      <protection locked="0" hidden="1"/>
    </xf>
    <xf numFmtId="172" fontId="17" fillId="13" borderId="46" xfId="0" applyNumberFormat="1" applyFont="1" applyFill="1" applyBorder="1" applyAlignment="1" applyProtection="1">
      <alignment horizontal="right" vertical="center" indent="1"/>
      <protection locked="0" hidden="1"/>
    </xf>
    <xf numFmtId="0" fontId="15" fillId="13" borderId="48" xfId="4" applyFont="1" applyFill="1" applyBorder="1" applyAlignment="1" applyProtection="1">
      <alignment vertical="center"/>
      <protection locked="0" hidden="1"/>
    </xf>
    <xf numFmtId="0" fontId="15" fillId="12" borderId="53" xfId="4" applyFont="1" applyFill="1" applyBorder="1" applyAlignment="1" applyProtection="1">
      <alignment horizontal="center" vertical="center"/>
      <protection locked="0" hidden="1"/>
    </xf>
    <xf numFmtId="0" fontId="14" fillId="7" borderId="53" xfId="4" applyFont="1" applyFill="1" applyBorder="1" applyAlignment="1" applyProtection="1">
      <alignment horizontal="center" vertical="center"/>
      <protection locked="0" hidden="1"/>
    </xf>
    <xf numFmtId="0" fontId="24" fillId="4" borderId="10" xfId="0" applyFont="1" applyFill="1" applyBorder="1" applyAlignment="1" applyProtection="1">
      <alignment horizontal="left" vertical="center"/>
      <protection locked="0" hidden="1"/>
    </xf>
    <xf numFmtId="0" fontId="24" fillId="4" borderId="11" xfId="0" applyFont="1" applyFill="1" applyBorder="1" applyAlignment="1" applyProtection="1">
      <alignment horizontal="left" vertical="center"/>
      <protection locked="0" hidden="1"/>
    </xf>
    <xf numFmtId="0" fontId="15" fillId="13" borderId="53" xfId="4" applyFont="1" applyFill="1" applyBorder="1" applyAlignment="1" applyProtection="1">
      <alignment vertical="center"/>
      <protection locked="0" hidden="1"/>
    </xf>
    <xf numFmtId="0" fontId="1" fillId="0" borderId="0" xfId="0" applyFont="1" applyFill="1" applyBorder="1" applyAlignment="1" applyProtection="1">
      <alignment vertical="center"/>
      <protection hidden="1"/>
    </xf>
    <xf numFmtId="0" fontId="1" fillId="0" borderId="4" xfId="0" applyFont="1" applyFill="1" applyBorder="1" applyAlignment="1" applyProtection="1">
      <alignment vertical="center"/>
      <protection hidden="1"/>
    </xf>
    <xf numFmtId="0" fontId="1" fillId="0" borderId="50" xfId="0" applyFont="1" applyFill="1" applyBorder="1" applyAlignment="1" applyProtection="1">
      <alignment vertical="center"/>
      <protection hidden="1"/>
    </xf>
    <xf numFmtId="0" fontId="1" fillId="0" borderId="6" xfId="0" applyFont="1" applyFill="1" applyBorder="1" applyAlignment="1" applyProtection="1">
      <alignment vertical="center"/>
      <protection hidden="1"/>
    </xf>
    <xf numFmtId="0" fontId="22" fillId="0" borderId="13" xfId="0" applyFont="1" applyFill="1" applyBorder="1" applyAlignment="1" applyProtection="1">
      <alignment vertical="center"/>
      <protection hidden="1"/>
    </xf>
    <xf numFmtId="0" fontId="10" fillId="0" borderId="4" xfId="0" applyFont="1" applyFill="1" applyBorder="1" applyAlignment="1" applyProtection="1">
      <alignment vertical="center"/>
      <protection hidden="1"/>
    </xf>
    <xf numFmtId="0" fontId="2" fillId="0" borderId="0" xfId="0" applyFont="1" applyFill="1" applyBorder="1" applyAlignment="1" applyProtection="1">
      <alignment vertical="top"/>
      <protection hidden="1"/>
    </xf>
    <xf numFmtId="0" fontId="11" fillId="0" borderId="0" xfId="0" applyFont="1" applyFill="1" applyBorder="1" applyAlignment="1" applyProtection="1">
      <alignment horizontal="center" vertical="center"/>
      <protection hidden="1"/>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horizontal="right" vertical="center"/>
      <protection hidden="1"/>
    </xf>
    <xf numFmtId="176" fontId="13" fillId="0" borderId="4" xfId="0" applyNumberFormat="1" applyFont="1" applyFill="1" applyBorder="1" applyAlignment="1" applyProtection="1">
      <alignment horizontal="right" vertical="center"/>
      <protection hidden="1"/>
    </xf>
    <xf numFmtId="175" fontId="13" fillId="0" borderId="0" xfId="0" applyNumberFormat="1" applyFont="1" applyFill="1" applyBorder="1" applyAlignment="1" applyProtection="1">
      <alignment vertical="center"/>
      <protection hidden="1"/>
    </xf>
    <xf numFmtId="0" fontId="5" fillId="0" borderId="0" xfId="0" applyFont="1" applyFill="1" applyBorder="1" applyAlignment="1" applyProtection="1">
      <alignment vertical="center"/>
      <protection hidden="1"/>
    </xf>
    <xf numFmtId="0" fontId="5" fillId="0" borderId="0" xfId="0" applyFont="1" applyFill="1" applyBorder="1" applyAlignment="1" applyProtection="1">
      <alignment horizontal="center" vertical="center"/>
      <protection hidden="1"/>
    </xf>
    <xf numFmtId="0" fontId="20" fillId="0" borderId="0" xfId="0" applyFont="1" applyFill="1" applyBorder="1" applyAlignment="1" applyProtection="1">
      <alignment horizontal="center" vertical="center"/>
      <protection hidden="1"/>
    </xf>
    <xf numFmtId="0" fontId="1" fillId="0" borderId="0" xfId="0" applyFont="1" applyFill="1" applyBorder="1" applyAlignment="1" applyProtection="1">
      <alignment horizontal="left" vertical="center"/>
      <protection hidden="1"/>
    </xf>
    <xf numFmtId="175" fontId="16" fillId="0" borderId="0" xfId="0" applyNumberFormat="1" applyFont="1" applyFill="1" applyBorder="1" applyAlignment="1" applyProtection="1">
      <alignment vertical="center"/>
      <protection hidden="1"/>
    </xf>
    <xf numFmtId="0" fontId="2" fillId="0" borderId="0" xfId="0" applyFont="1" applyFill="1" applyBorder="1" applyAlignment="1" applyProtection="1">
      <alignment vertical="center" wrapText="1"/>
      <protection hidden="1"/>
    </xf>
    <xf numFmtId="0" fontId="56" fillId="0" borderId="0" xfId="0" applyFont="1" applyFill="1" applyBorder="1" applyAlignment="1" applyProtection="1">
      <alignment vertical="center"/>
      <protection hidden="1"/>
    </xf>
    <xf numFmtId="4" fontId="5" fillId="0" borderId="0" xfId="0" applyNumberFormat="1" applyFont="1" applyFill="1" applyBorder="1" applyAlignment="1" applyProtection="1">
      <alignment horizontal="right" vertical="center"/>
      <protection hidden="1"/>
    </xf>
    <xf numFmtId="4" fontId="5" fillId="0" borderId="0" xfId="0" applyNumberFormat="1" applyFont="1" applyFill="1" applyBorder="1" applyAlignment="1" applyProtection="1">
      <alignment horizontal="left" vertical="center"/>
      <protection hidden="1"/>
    </xf>
    <xf numFmtId="170" fontId="16" fillId="0" borderId="0" xfId="0" applyNumberFormat="1" applyFont="1" applyFill="1" applyBorder="1" applyAlignment="1" applyProtection="1">
      <alignment horizontal="right" vertical="center" indent="1"/>
      <protection hidden="1"/>
    </xf>
    <xf numFmtId="168" fontId="1" fillId="0" borderId="13" xfId="0" applyNumberFormat="1" applyFont="1" applyFill="1" applyBorder="1" applyAlignment="1" applyProtection="1">
      <alignment vertical="center"/>
      <protection hidden="1"/>
    </xf>
    <xf numFmtId="0" fontId="1" fillId="0" borderId="13" xfId="0" applyFont="1" applyFill="1" applyBorder="1" applyAlignment="1" applyProtection="1">
      <alignment vertical="center"/>
      <protection hidden="1"/>
    </xf>
    <xf numFmtId="0" fontId="2" fillId="0" borderId="0" xfId="0" quotePrefix="1" applyFont="1" applyFill="1" applyBorder="1" applyAlignment="1" applyProtection="1">
      <alignment vertical="center"/>
      <protection hidden="1"/>
    </xf>
    <xf numFmtId="171" fontId="11" fillId="0" borderId="0" xfId="0" applyNumberFormat="1" applyFont="1" applyFill="1" applyBorder="1" applyAlignment="1" applyProtection="1">
      <alignment horizontal="right" vertical="center" indent="1"/>
      <protection hidden="1"/>
    </xf>
    <xf numFmtId="171" fontId="12" fillId="0" borderId="0" xfId="0" applyNumberFormat="1" applyFont="1" applyFill="1" applyBorder="1" applyAlignment="1" applyProtection="1">
      <alignment horizontal="right" vertical="center" indent="1"/>
      <protection hidden="1"/>
    </xf>
    <xf numFmtId="0" fontId="2" fillId="0" borderId="0" xfId="0" applyFont="1" applyFill="1" applyBorder="1" applyAlignment="1" applyProtection="1">
      <alignment horizontal="left" vertical="center"/>
      <protection hidden="1"/>
    </xf>
    <xf numFmtId="165" fontId="2" fillId="0" borderId="0" xfId="0" applyNumberFormat="1" applyFont="1" applyFill="1" applyBorder="1" applyAlignment="1" applyProtection="1">
      <alignment vertical="center"/>
      <protection hidden="1"/>
    </xf>
    <xf numFmtId="0" fontId="23" fillId="0" borderId="0" xfId="0" applyFont="1" applyFill="1" applyBorder="1" applyAlignment="1" applyProtection="1">
      <alignment vertical="top"/>
      <protection hidden="1"/>
    </xf>
    <xf numFmtId="0" fontId="2" fillId="0" borderId="13" xfId="0" applyFont="1" applyFill="1" applyBorder="1" applyAlignment="1" applyProtection="1">
      <alignment horizontal="left" vertical="center"/>
      <protection hidden="1"/>
    </xf>
    <xf numFmtId="165" fontId="2" fillId="0" borderId="13" xfId="0" applyNumberFormat="1" applyFont="1" applyFill="1" applyBorder="1" applyAlignment="1" applyProtection="1">
      <alignment vertical="center"/>
      <protection hidden="1"/>
    </xf>
    <xf numFmtId="0" fontId="2" fillId="0" borderId="13" xfId="0" applyFont="1" applyFill="1" applyBorder="1" applyAlignment="1" applyProtection="1">
      <alignment vertical="center"/>
      <protection hidden="1"/>
    </xf>
    <xf numFmtId="0" fontId="33" fillId="0" borderId="13" xfId="0" applyFont="1" applyFill="1" applyBorder="1" applyAlignment="1" applyProtection="1">
      <alignment horizontal="right" vertical="center"/>
      <protection hidden="1"/>
    </xf>
    <xf numFmtId="0" fontId="2" fillId="0" borderId="0" xfId="0" applyFont="1" applyFill="1" applyBorder="1" applyAlignment="1" applyProtection="1">
      <alignment horizontal="right" vertical="center" indent="1"/>
      <protection hidden="1"/>
    </xf>
    <xf numFmtId="0" fontId="3" fillId="0" borderId="0" xfId="0" applyFont="1" applyFill="1" applyBorder="1" applyAlignment="1" applyProtection="1">
      <alignment vertical="center"/>
      <protection hidden="1"/>
    </xf>
    <xf numFmtId="0" fontId="8" fillId="0" borderId="0" xfId="0" applyFont="1" applyFill="1" applyBorder="1" applyAlignment="1" applyProtection="1">
      <alignment horizontal="right" vertical="center" indent="1"/>
      <protection hidden="1"/>
    </xf>
    <xf numFmtId="168" fontId="1" fillId="0" borderId="0" xfId="0" applyNumberFormat="1" applyFont="1" applyFill="1" applyBorder="1" applyAlignment="1" applyProtection="1">
      <alignment vertical="center"/>
      <protection hidden="1"/>
    </xf>
    <xf numFmtId="0" fontId="1" fillId="0" borderId="0" xfId="0" applyFont="1" applyFill="1" applyBorder="1" applyAlignment="1" applyProtection="1">
      <alignment horizontal="right" vertical="center"/>
      <protection hidden="1"/>
    </xf>
    <xf numFmtId="0" fontId="22" fillId="0" borderId="13" xfId="0" applyFont="1" applyFill="1" applyBorder="1" applyAlignment="1" applyProtection="1">
      <alignment horizontal="left" vertical="center"/>
      <protection hidden="1"/>
    </xf>
    <xf numFmtId="0" fontId="22" fillId="0" borderId="0" xfId="0" applyFont="1" applyFill="1" applyBorder="1" applyAlignment="1" applyProtection="1">
      <alignment horizontal="left" vertical="center"/>
      <protection hidden="1"/>
    </xf>
    <xf numFmtId="0" fontId="21" fillId="0" borderId="13" xfId="0" quotePrefix="1" applyFont="1" applyFill="1" applyBorder="1" applyAlignment="1" applyProtection="1">
      <alignment vertical="center"/>
      <protection hidden="1"/>
    </xf>
    <xf numFmtId="0" fontId="1" fillId="0" borderId="13" xfId="0" applyFont="1" applyFill="1" applyBorder="1" applyAlignment="1" applyProtection="1">
      <alignment horizontal="right" vertical="center"/>
      <protection hidden="1"/>
    </xf>
    <xf numFmtId="168" fontId="3" fillId="0" borderId="0" xfId="0" applyNumberFormat="1" applyFont="1" applyFill="1" applyBorder="1" applyAlignment="1" applyProtection="1">
      <alignment horizontal="right" vertical="center"/>
      <protection hidden="1"/>
    </xf>
    <xf numFmtId="0" fontId="1" fillId="0" borderId="0" xfId="0" applyFont="1" applyFill="1" applyBorder="1" applyAlignment="1" applyProtection="1">
      <alignment vertical="center" wrapText="1"/>
      <protection hidden="1"/>
    </xf>
    <xf numFmtId="0" fontId="10" fillId="0" borderId="6" xfId="0" applyFont="1" applyFill="1" applyBorder="1" applyAlignment="1" applyProtection="1">
      <alignment vertical="center"/>
      <protection hidden="1"/>
    </xf>
    <xf numFmtId="0" fontId="29" fillId="2" borderId="50" xfId="0" applyFont="1" applyFill="1" applyBorder="1" applyAlignment="1" applyProtection="1">
      <alignment vertical="center"/>
      <protection hidden="1"/>
    </xf>
    <xf numFmtId="0" fontId="36" fillId="0" borderId="0" xfId="0" applyFont="1" applyFill="1" applyBorder="1" applyAlignment="1" applyProtection="1">
      <alignment vertical="center"/>
      <protection hidden="1"/>
    </xf>
    <xf numFmtId="0" fontId="36" fillId="0" borderId="5" xfId="0" applyFont="1" applyFill="1" applyBorder="1" applyAlignment="1" applyProtection="1">
      <alignment vertical="center"/>
      <protection hidden="1"/>
    </xf>
    <xf numFmtId="0" fontId="36" fillId="0" borderId="5" xfId="0" applyFont="1" applyFill="1" applyBorder="1" applyAlignment="1" applyProtection="1">
      <alignment horizontal="left" vertical="center" wrapText="1"/>
      <protection hidden="1"/>
    </xf>
    <xf numFmtId="0" fontId="36" fillId="0" borderId="0" xfId="0" applyFont="1" applyFill="1" applyBorder="1" applyAlignment="1" applyProtection="1">
      <alignment vertical="center" wrapText="1"/>
      <protection hidden="1"/>
    </xf>
    <xf numFmtId="0" fontId="34" fillId="0" borderId="0" xfId="0" applyFont="1" applyFill="1" applyBorder="1" applyAlignment="1" applyProtection="1">
      <alignment vertical="center"/>
      <protection hidden="1"/>
    </xf>
    <xf numFmtId="0" fontId="36" fillId="0" borderId="50" xfId="0" applyFont="1" applyFill="1" applyBorder="1" applyAlignment="1" applyProtection="1">
      <alignment vertical="center"/>
      <protection hidden="1"/>
    </xf>
    <xf numFmtId="0" fontId="36" fillId="0" borderId="6" xfId="0" applyFont="1" applyFill="1" applyBorder="1" applyAlignment="1" applyProtection="1">
      <alignment vertical="center"/>
      <protection hidden="1"/>
    </xf>
    <xf numFmtId="0" fontId="36" fillId="0" borderId="13" xfId="0" applyFont="1" applyFill="1" applyBorder="1" applyAlignment="1" applyProtection="1">
      <alignment vertical="center"/>
      <protection hidden="1"/>
    </xf>
    <xf numFmtId="0" fontId="36" fillId="0" borderId="14" xfId="0" applyFont="1" applyFill="1" applyBorder="1" applyAlignment="1" applyProtection="1">
      <alignment vertical="center"/>
      <protection hidden="1"/>
    </xf>
    <xf numFmtId="168" fontId="62" fillId="0" borderId="0" xfId="0" applyNumberFormat="1" applyFont="1" applyFill="1" applyBorder="1" applyAlignment="1" applyProtection="1">
      <alignment horizontal="right" vertical="center"/>
      <protection hidden="1"/>
    </xf>
    <xf numFmtId="0" fontId="59" fillId="0" borderId="0" xfId="0" applyFont="1" applyFill="1" applyBorder="1" applyAlignment="1" applyProtection="1">
      <alignment horizontal="right" vertical="center"/>
      <protection hidden="1"/>
    </xf>
    <xf numFmtId="0" fontId="59" fillId="0" borderId="0" xfId="0" applyFont="1" applyFill="1" applyBorder="1" applyAlignment="1" applyProtection="1">
      <alignment vertical="center"/>
      <protection hidden="1"/>
    </xf>
    <xf numFmtId="0" fontId="33" fillId="0" borderId="0" xfId="0" applyFont="1" applyFill="1" applyBorder="1" applyAlignment="1" applyProtection="1">
      <alignment horizontal="center" vertical="center"/>
      <protection hidden="1"/>
    </xf>
    <xf numFmtId="176" fontId="16" fillId="0" borderId="0" xfId="0" applyNumberFormat="1" applyFont="1" applyFill="1" applyBorder="1" applyAlignment="1" applyProtection="1">
      <alignment horizontal="right" vertical="center"/>
      <protection hidden="1"/>
    </xf>
    <xf numFmtId="0" fontId="17" fillId="0" borderId="53" xfId="0" applyFont="1" applyBorder="1" applyAlignment="1" applyProtection="1">
      <alignment horizontal="center" vertical="center"/>
      <protection locked="0" hidden="1"/>
    </xf>
    <xf numFmtId="0" fontId="1" fillId="2" borderId="56" xfId="0" applyFont="1" applyFill="1" applyBorder="1" applyAlignment="1" applyProtection="1">
      <alignment vertical="center"/>
      <protection hidden="1"/>
    </xf>
    <xf numFmtId="0" fontId="37" fillId="0" borderId="0" xfId="0" applyFont="1" applyFill="1" applyBorder="1" applyAlignment="1" applyProtection="1">
      <alignment horizontal="right" vertical="center"/>
      <protection hidden="1"/>
    </xf>
    <xf numFmtId="0" fontId="1" fillId="2" borderId="13" xfId="0" applyFont="1" applyFill="1" applyBorder="1" applyAlignment="1" applyProtection="1">
      <alignment vertical="center"/>
      <protection hidden="1"/>
    </xf>
    <xf numFmtId="0" fontId="33" fillId="0" borderId="0" xfId="0" applyFont="1" applyFill="1" applyBorder="1" applyAlignment="1" applyProtection="1">
      <alignment vertical="center"/>
      <protection hidden="1"/>
    </xf>
    <xf numFmtId="0" fontId="6" fillId="3" borderId="56" xfId="0" applyFont="1" applyFill="1" applyBorder="1" applyAlignment="1" applyProtection="1">
      <alignment horizontal="center" vertical="center"/>
      <protection hidden="1"/>
    </xf>
    <xf numFmtId="0" fontId="6" fillId="3" borderId="13" xfId="0" applyFont="1" applyFill="1" applyBorder="1" applyAlignment="1" applyProtection="1">
      <alignment horizontal="center" vertical="center"/>
      <protection hidden="1"/>
    </xf>
    <xf numFmtId="0" fontId="1" fillId="0" borderId="0" xfId="0" applyFont="1" applyAlignment="1" applyProtection="1">
      <alignment vertical="top"/>
      <protection hidden="1"/>
    </xf>
    <xf numFmtId="0" fontId="1" fillId="2" borderId="4" xfId="0" applyFont="1" applyFill="1" applyBorder="1" applyAlignment="1" applyProtection="1">
      <alignment vertical="top"/>
      <protection hidden="1"/>
    </xf>
    <xf numFmtId="0" fontId="17" fillId="0" borderId="53" xfId="0" applyFont="1" applyBorder="1" applyAlignment="1" applyProtection="1">
      <alignment vertical="top"/>
      <protection hidden="1"/>
    </xf>
    <xf numFmtId="0" fontId="11" fillId="0" borderId="0" xfId="0" applyFont="1" applyAlignment="1" applyProtection="1">
      <alignment vertical="top"/>
      <protection hidden="1"/>
    </xf>
    <xf numFmtId="0" fontId="63" fillId="0" borderId="4" xfId="0" applyFont="1" applyFill="1" applyBorder="1" applyAlignment="1" applyProtection="1">
      <alignment vertical="top"/>
      <protection hidden="1"/>
    </xf>
    <xf numFmtId="0" fontId="1" fillId="0" borderId="0" xfId="0" applyFont="1" applyFill="1" applyBorder="1" applyAlignment="1" applyProtection="1">
      <alignment vertical="top"/>
      <protection hidden="1"/>
    </xf>
    <xf numFmtId="0" fontId="2" fillId="0" borderId="2" xfId="0" applyFont="1" applyFill="1" applyBorder="1" applyAlignment="1" applyProtection="1">
      <alignment horizontal="center" vertical="top" wrapText="1"/>
      <protection hidden="1"/>
    </xf>
    <xf numFmtId="0" fontId="63" fillId="0" borderId="1" xfId="0" applyFont="1" applyFill="1" applyBorder="1" applyAlignment="1" applyProtection="1">
      <alignment vertical="top"/>
      <protection hidden="1"/>
    </xf>
    <xf numFmtId="0" fontId="22" fillId="0" borderId="0" xfId="0" applyFont="1" applyFill="1" applyBorder="1" applyAlignment="1" applyProtection="1">
      <alignment horizontal="left" vertical="top"/>
      <protection hidden="1"/>
    </xf>
    <xf numFmtId="0" fontId="1" fillId="0" borderId="2" xfId="0" applyFont="1" applyFill="1" applyBorder="1" applyAlignment="1" applyProtection="1">
      <alignment vertical="top"/>
      <protection hidden="1"/>
    </xf>
    <xf numFmtId="0" fontId="1" fillId="0" borderId="56" xfId="0" applyFont="1" applyFill="1" applyBorder="1" applyAlignment="1" applyProtection="1">
      <alignment vertical="top"/>
      <protection hidden="1"/>
    </xf>
    <xf numFmtId="0" fontId="17" fillId="0" borderId="53" xfId="0" applyFont="1" applyBorder="1" applyAlignment="1" applyProtection="1">
      <alignment horizontal="center" vertical="center"/>
      <protection hidden="1"/>
    </xf>
    <xf numFmtId="0" fontId="17" fillId="15" borderId="53" xfId="0" applyFont="1" applyFill="1" applyBorder="1" applyAlignment="1" applyProtection="1">
      <alignment horizontal="center" vertical="center"/>
      <protection hidden="1"/>
    </xf>
    <xf numFmtId="0" fontId="17" fillId="0" borderId="0" xfId="0" applyFont="1" applyAlignment="1" applyProtection="1">
      <alignment horizontal="center" vertical="center"/>
      <protection hidden="1"/>
    </xf>
    <xf numFmtId="183" fontId="2" fillId="11" borderId="12" xfId="0" applyNumberFormat="1" applyFont="1" applyFill="1" applyBorder="1" applyAlignment="1" applyProtection="1">
      <alignment vertical="center"/>
      <protection hidden="1"/>
    </xf>
    <xf numFmtId="185" fontId="2" fillId="11" borderId="12" xfId="0" applyNumberFormat="1" applyFont="1" applyFill="1" applyBorder="1" applyAlignment="1" applyProtection="1">
      <alignment vertical="center"/>
      <protection hidden="1"/>
    </xf>
    <xf numFmtId="0" fontId="64" fillId="0" borderId="0" xfId="0" applyFont="1" applyFill="1" applyBorder="1" applyAlignment="1" applyProtection="1">
      <alignment vertical="center"/>
      <protection hidden="1"/>
    </xf>
    <xf numFmtId="183" fontId="64" fillId="11" borderId="59" xfId="0" applyNumberFormat="1" applyFont="1" applyFill="1" applyBorder="1" applyAlignment="1" applyProtection="1">
      <alignment horizontal="right" vertical="center"/>
      <protection hidden="1"/>
    </xf>
    <xf numFmtId="176" fontId="65" fillId="0" borderId="0" xfId="0" applyNumberFormat="1" applyFont="1" applyFill="1" applyBorder="1" applyAlignment="1" applyProtection="1">
      <alignment horizontal="right" vertical="center"/>
      <protection hidden="1"/>
    </xf>
    <xf numFmtId="185" fontId="64" fillId="11" borderId="59" xfId="0" applyNumberFormat="1" applyFont="1" applyFill="1" applyBorder="1" applyAlignment="1" applyProtection="1">
      <alignment horizontal="right" vertical="center"/>
      <protection hidden="1"/>
    </xf>
    <xf numFmtId="183" fontId="64" fillId="11" borderId="0" xfId="0" applyNumberFormat="1" applyFont="1" applyFill="1" applyBorder="1" applyAlignment="1" applyProtection="1">
      <alignment horizontal="right" vertical="center"/>
      <protection hidden="1"/>
    </xf>
    <xf numFmtId="185" fontId="64" fillId="11" borderId="0" xfId="0" applyNumberFormat="1" applyFont="1" applyFill="1" applyBorder="1" applyAlignment="1" applyProtection="1">
      <alignment horizontal="right" vertical="center"/>
      <protection hidden="1"/>
    </xf>
    <xf numFmtId="0" fontId="59" fillId="0" borderId="0" xfId="0" applyFont="1" applyFill="1" applyBorder="1" applyAlignment="1" applyProtection="1">
      <alignment horizontal="right" vertical="top"/>
      <protection hidden="1"/>
    </xf>
    <xf numFmtId="0" fontId="2" fillId="0" borderId="0" xfId="0" applyFont="1" applyFill="1" applyBorder="1" applyAlignment="1" applyProtection="1">
      <alignment horizontal="right" vertical="top"/>
      <protection hidden="1"/>
    </xf>
    <xf numFmtId="0" fontId="61" fillId="0" borderId="0" xfId="0" applyFont="1" applyFill="1" applyBorder="1" applyAlignment="1" applyProtection="1">
      <alignment horizontal="center" vertical="top"/>
      <protection hidden="1"/>
    </xf>
    <xf numFmtId="0" fontId="11" fillId="0" borderId="0" xfId="0" applyFont="1" applyFill="1" applyBorder="1" applyAlignment="1" applyProtection="1">
      <alignment horizontal="center" vertical="top"/>
      <protection hidden="1"/>
    </xf>
    <xf numFmtId="0" fontId="1" fillId="0" borderId="4" xfId="0" applyFont="1" applyFill="1" applyBorder="1" applyAlignment="1" applyProtection="1">
      <alignment vertical="top"/>
      <protection hidden="1"/>
    </xf>
    <xf numFmtId="0" fontId="1" fillId="0" borderId="0" xfId="0" applyFont="1" applyFill="1" applyAlignment="1" applyProtection="1">
      <alignment vertical="top"/>
      <protection hidden="1"/>
    </xf>
    <xf numFmtId="0" fontId="5" fillId="0" borderId="0" xfId="0" applyFont="1" applyFill="1" applyBorder="1" applyAlignment="1" applyProtection="1">
      <alignment vertical="top"/>
      <protection hidden="1"/>
    </xf>
    <xf numFmtId="168" fontId="2" fillId="0" borderId="0" xfId="0" applyNumberFormat="1" applyFont="1" applyFill="1" applyBorder="1" applyAlignment="1" applyProtection="1">
      <alignment vertical="top"/>
      <protection hidden="1"/>
    </xf>
    <xf numFmtId="165" fontId="1" fillId="0" borderId="0" xfId="0" applyNumberFormat="1" applyFont="1" applyFill="1" applyBorder="1" applyAlignment="1" applyProtection="1">
      <alignment horizontal="center" vertical="top"/>
      <protection hidden="1"/>
    </xf>
    <xf numFmtId="0" fontId="42" fillId="0" borderId="53" xfId="4" applyFont="1" applyBorder="1" applyAlignment="1" applyProtection="1">
      <alignment vertical="center"/>
      <protection hidden="1"/>
    </xf>
    <xf numFmtId="0" fontId="42" fillId="15" borderId="53" xfId="4" applyFont="1" applyFill="1" applyBorder="1" applyAlignment="1" applyProtection="1">
      <alignment vertical="center"/>
      <protection hidden="1"/>
    </xf>
    <xf numFmtId="0" fontId="15" fillId="0" borderId="15" xfId="4" applyFont="1" applyBorder="1" applyAlignment="1" applyProtection="1">
      <alignment horizontal="left" vertical="center" indent="1"/>
      <protection locked="0"/>
    </xf>
    <xf numFmtId="0" fontId="15" fillId="0" borderId="0" xfId="4" applyFont="1" applyAlignment="1" applyProtection="1">
      <alignment horizontal="left" vertical="center" indent="1"/>
      <protection locked="0"/>
    </xf>
    <xf numFmtId="0" fontId="15" fillId="0" borderId="15" xfId="4" applyFont="1" applyBorder="1" applyAlignment="1" applyProtection="1">
      <alignment horizontal="left" vertical="center" wrapText="1" indent="1"/>
      <protection locked="0"/>
    </xf>
    <xf numFmtId="0" fontId="15" fillId="0" borderId="43" xfId="4" applyFont="1" applyBorder="1" applyAlignment="1" applyProtection="1">
      <alignment horizontal="left" vertical="center" wrapText="1" indent="1"/>
      <protection locked="0"/>
    </xf>
    <xf numFmtId="0" fontId="15" fillId="0" borderId="15" xfId="4" quotePrefix="1" applyFont="1" applyBorder="1" applyAlignment="1" applyProtection="1">
      <alignment horizontal="left" vertical="center" wrapText="1" indent="1"/>
      <protection locked="0"/>
    </xf>
    <xf numFmtId="0" fontId="15" fillId="13" borderId="15" xfId="4" applyFont="1" applyFill="1" applyBorder="1" applyAlignment="1" applyProtection="1">
      <alignment vertical="center"/>
      <protection locked="0"/>
    </xf>
    <xf numFmtId="0" fontId="11" fillId="13" borderId="15" xfId="0" applyFont="1" applyFill="1" applyBorder="1" applyAlignment="1" applyProtection="1">
      <alignment horizontal="left" vertical="center" wrapText="1" indent="1"/>
      <protection hidden="1"/>
    </xf>
    <xf numFmtId="0" fontId="66" fillId="17" borderId="15" xfId="4" applyFont="1" applyFill="1" applyBorder="1" applyAlignment="1" applyProtection="1">
      <alignment horizontal="center" vertical="center"/>
      <protection locked="0"/>
    </xf>
    <xf numFmtId="0" fontId="66" fillId="17" borderId="15" xfId="4" applyFont="1" applyFill="1" applyBorder="1" applyAlignment="1" applyProtection="1">
      <alignment horizontal="left" vertical="center" indent="1"/>
      <protection locked="0"/>
    </xf>
    <xf numFmtId="0" fontId="14" fillId="13" borderId="53" xfId="4" applyFont="1" applyFill="1" applyBorder="1" applyAlignment="1" applyProtection="1">
      <alignment horizontal="center" vertical="center"/>
      <protection locked="0" hidden="1"/>
    </xf>
    <xf numFmtId="0" fontId="15" fillId="0" borderId="53" xfId="4" applyFont="1" applyBorder="1" applyAlignment="1" applyProtection="1">
      <alignment horizontal="left" vertical="center" wrapText="1" indent="1"/>
      <protection locked="0"/>
    </xf>
    <xf numFmtId="176" fontId="13" fillId="0" borderId="50" xfId="0" applyNumberFormat="1" applyFont="1" applyFill="1" applyBorder="1" applyAlignment="1" applyProtection="1">
      <alignment horizontal="right" vertical="center"/>
      <protection hidden="1"/>
    </xf>
    <xf numFmtId="0" fontId="11" fillId="0" borderId="13" xfId="0" applyFont="1" applyFill="1" applyBorder="1" applyAlignment="1" applyProtection="1">
      <alignment horizontal="center" vertical="top"/>
      <protection hidden="1"/>
    </xf>
    <xf numFmtId="0" fontId="1" fillId="2" borderId="50" xfId="0" applyFont="1" applyFill="1" applyBorder="1" applyAlignment="1" applyProtection="1">
      <alignment vertical="top"/>
      <protection hidden="1"/>
    </xf>
    <xf numFmtId="0" fontId="10" fillId="0" borderId="50" xfId="0" applyFont="1" applyFill="1" applyBorder="1" applyAlignment="1" applyProtection="1">
      <alignment vertical="top"/>
      <protection hidden="1"/>
    </xf>
    <xf numFmtId="0" fontId="2" fillId="0" borderId="61" xfId="0" applyFont="1" applyFill="1" applyBorder="1" applyAlignment="1" applyProtection="1">
      <alignment vertical="top"/>
      <protection hidden="1"/>
    </xf>
    <xf numFmtId="0" fontId="1" fillId="0" borderId="61" xfId="0" applyFont="1" applyFill="1" applyBorder="1" applyAlignment="1" applyProtection="1">
      <alignment vertical="top"/>
      <protection hidden="1"/>
    </xf>
    <xf numFmtId="0" fontId="1" fillId="0" borderId="50" xfId="0" applyFont="1" applyFill="1" applyBorder="1" applyAlignment="1" applyProtection="1">
      <alignment vertical="top"/>
      <protection hidden="1"/>
    </xf>
    <xf numFmtId="0" fontId="5" fillId="0" borderId="61" xfId="0" applyFont="1" applyFill="1" applyBorder="1" applyAlignment="1" applyProtection="1">
      <alignment vertical="top"/>
      <protection hidden="1"/>
    </xf>
    <xf numFmtId="0" fontId="59" fillId="0" borderId="61" xfId="0" applyFont="1" applyFill="1" applyBorder="1" applyAlignment="1" applyProtection="1">
      <alignment horizontal="right" vertical="top"/>
      <protection hidden="1"/>
    </xf>
    <xf numFmtId="0" fontId="23" fillId="0" borderId="61" xfId="0" applyFont="1" applyFill="1" applyBorder="1" applyAlignment="1" applyProtection="1">
      <alignment vertical="top"/>
      <protection hidden="1"/>
    </xf>
    <xf numFmtId="168" fontId="2" fillId="0" borderId="61" xfId="0" applyNumberFormat="1" applyFont="1" applyFill="1" applyBorder="1" applyAlignment="1" applyProtection="1">
      <alignment vertical="top"/>
      <protection hidden="1"/>
    </xf>
    <xf numFmtId="165" fontId="1" fillId="0" borderId="61" xfId="0" applyNumberFormat="1" applyFont="1" applyFill="1" applyBorder="1" applyAlignment="1" applyProtection="1">
      <alignment horizontal="center" vertical="top"/>
      <protection hidden="1"/>
    </xf>
    <xf numFmtId="0" fontId="15" fillId="0" borderId="55" xfId="0" applyFont="1" applyFill="1" applyBorder="1" applyAlignment="1" applyProtection="1">
      <alignment vertical="center"/>
      <protection locked="0" hidden="1"/>
    </xf>
    <xf numFmtId="0" fontId="15" fillId="0" borderId="55" xfId="4" applyFont="1" applyBorder="1" applyAlignment="1" applyProtection="1">
      <alignment vertical="center"/>
      <protection locked="0" hidden="1"/>
    </xf>
    <xf numFmtId="0" fontId="15" fillId="13" borderId="55" xfId="0" applyFont="1" applyFill="1" applyBorder="1" applyAlignment="1" applyProtection="1">
      <alignment vertical="center"/>
      <protection locked="0" hidden="1"/>
    </xf>
    <xf numFmtId="0" fontId="14" fillId="7" borderId="55" xfId="0" applyFont="1" applyFill="1" applyBorder="1" applyAlignment="1" applyProtection="1">
      <alignment vertical="center"/>
      <protection locked="0" hidden="1"/>
    </xf>
    <xf numFmtId="0" fontId="14" fillId="6" borderId="55" xfId="0" applyFont="1" applyFill="1" applyBorder="1" applyAlignment="1" applyProtection="1">
      <alignment horizontal="center" vertical="center"/>
      <protection locked="0" hidden="1"/>
    </xf>
    <xf numFmtId="0" fontId="24" fillId="4" borderId="9" xfId="0" applyFont="1" applyFill="1" applyBorder="1" applyAlignment="1" applyProtection="1">
      <alignment horizontal="left" vertical="center" indent="1"/>
      <protection locked="0" hidden="1"/>
    </xf>
    <xf numFmtId="0" fontId="15" fillId="0" borderId="54" xfId="0" applyFont="1" applyFill="1" applyBorder="1" applyAlignment="1" applyProtection="1">
      <alignment horizontal="left" vertical="center" indent="1"/>
      <protection locked="0" hidden="1"/>
    </xf>
    <xf numFmtId="0" fontId="15" fillId="0" borderId="54" xfId="4" applyFont="1" applyBorder="1" applyAlignment="1" applyProtection="1">
      <alignment horizontal="left" vertical="center" indent="1"/>
      <protection locked="0" hidden="1"/>
    </xf>
    <xf numFmtId="0" fontId="15" fillId="0" borderId="54" xfId="4" applyFont="1" applyBorder="1" applyAlignment="1" applyProtection="1">
      <alignment horizontal="left" vertical="center" indent="1"/>
      <protection hidden="1"/>
    </xf>
    <xf numFmtId="0" fontId="15" fillId="13" borderId="54" xfId="0" applyFont="1" applyFill="1" applyBorder="1" applyAlignment="1" applyProtection="1">
      <alignment horizontal="left" vertical="center" indent="1"/>
      <protection locked="0" hidden="1"/>
    </xf>
    <xf numFmtId="0" fontId="14" fillId="7" borderId="54" xfId="0" applyFont="1" applyFill="1" applyBorder="1" applyAlignment="1" applyProtection="1">
      <alignment horizontal="left" vertical="center" indent="1"/>
      <protection locked="0" hidden="1"/>
    </xf>
    <xf numFmtId="0" fontId="18" fillId="7" borderId="9" xfId="0" applyFont="1" applyFill="1" applyBorder="1" applyAlignment="1" applyProtection="1">
      <alignment horizontal="left" vertical="center" indent="1"/>
      <protection locked="0" hidden="1"/>
    </xf>
    <xf numFmtId="0" fontId="15" fillId="7" borderId="54" xfId="0" applyFont="1" applyFill="1" applyBorder="1" applyAlignment="1" applyProtection="1">
      <alignment horizontal="left" vertical="center" indent="1"/>
      <protection locked="0" hidden="1"/>
    </xf>
    <xf numFmtId="0" fontId="15" fillId="0" borderId="49" xfId="4" applyFont="1" applyBorder="1" applyAlignment="1" applyProtection="1">
      <alignment horizontal="left" vertical="center" indent="1"/>
      <protection locked="0" hidden="1"/>
    </xf>
    <xf numFmtId="0" fontId="15" fillId="0" borderId="52" xfId="4" applyFont="1" applyBorder="1" applyAlignment="1" applyProtection="1">
      <alignment horizontal="left" vertical="center" indent="1"/>
      <protection locked="0" hidden="1"/>
    </xf>
    <xf numFmtId="0" fontId="14" fillId="12" borderId="45" xfId="4" applyFont="1" applyFill="1" applyBorder="1" applyAlignment="1" applyProtection="1">
      <alignment horizontal="center" vertical="center"/>
      <protection locked="0" hidden="1"/>
    </xf>
    <xf numFmtId="0" fontId="14" fillId="12" borderId="46" xfId="4" applyFont="1" applyFill="1" applyBorder="1" applyAlignment="1" applyProtection="1">
      <alignment horizontal="center" vertical="center"/>
      <protection locked="0" hidden="1"/>
    </xf>
    <xf numFmtId="0" fontId="18" fillId="12" borderId="54" xfId="0" applyFont="1" applyFill="1" applyBorder="1" applyAlignment="1" applyProtection="1">
      <alignment horizontal="left" vertical="center" indent="1"/>
      <protection locked="0" hidden="1"/>
    </xf>
    <xf numFmtId="0" fontId="17" fillId="12" borderId="58" xfId="0" applyFont="1" applyFill="1" applyBorder="1" applyAlignment="1" applyProtection="1">
      <alignment vertical="center"/>
      <protection locked="0" hidden="1"/>
    </xf>
    <xf numFmtId="0" fontId="51" fillId="9" borderId="63" xfId="4" applyFont="1" applyFill="1" applyBorder="1" applyAlignment="1" applyProtection="1">
      <alignment horizontal="center" vertical="center"/>
      <protection hidden="1"/>
    </xf>
    <xf numFmtId="0" fontId="48" fillId="0" borderId="0" xfId="4" applyFont="1" applyBorder="1" applyAlignment="1" applyProtection="1">
      <alignment vertical="center"/>
      <protection hidden="1"/>
    </xf>
    <xf numFmtId="0" fontId="15" fillId="13" borderId="55" xfId="4" applyFont="1" applyFill="1" applyBorder="1" applyAlignment="1" applyProtection="1">
      <alignment vertical="center"/>
      <protection locked="0" hidden="1"/>
    </xf>
    <xf numFmtId="0" fontId="15" fillId="13" borderId="54" xfId="4" applyFont="1" applyFill="1" applyBorder="1" applyAlignment="1" applyProtection="1">
      <alignment horizontal="left" vertical="center" indent="1"/>
      <protection locked="0" hidden="1"/>
    </xf>
    <xf numFmtId="0" fontId="17" fillId="0" borderId="53" xfId="0" applyFont="1" applyFill="1" applyBorder="1" applyAlignment="1" applyProtection="1">
      <alignment vertical="center"/>
      <protection hidden="1"/>
    </xf>
    <xf numFmtId="0" fontId="36" fillId="4" borderId="67" xfId="0" applyFont="1" applyFill="1" applyBorder="1" applyAlignment="1" applyProtection="1">
      <alignment horizontal="left" vertical="center" indent="1"/>
      <protection hidden="1"/>
    </xf>
    <xf numFmtId="0" fontId="35" fillId="4" borderId="67" xfId="0" applyFont="1" applyFill="1" applyBorder="1" applyAlignment="1" applyProtection="1">
      <alignment horizontal="left" vertical="center" indent="1"/>
      <protection hidden="1"/>
    </xf>
    <xf numFmtId="0" fontId="55" fillId="4" borderId="67" xfId="0" applyFont="1" applyFill="1" applyBorder="1" applyAlignment="1" applyProtection="1">
      <alignment horizontal="left" vertical="center" indent="1"/>
      <protection hidden="1"/>
    </xf>
    <xf numFmtId="0" fontId="36" fillId="4" borderId="6" xfId="0" applyFont="1" applyFill="1" applyBorder="1" applyAlignment="1" applyProtection="1">
      <alignment horizontal="left" vertical="center" indent="1"/>
      <protection hidden="1"/>
    </xf>
    <xf numFmtId="168" fontId="2" fillId="0" borderId="0" xfId="0" applyNumberFormat="1" applyFont="1" applyFill="1" applyBorder="1" applyAlignment="1" applyProtection="1">
      <alignment vertical="center"/>
      <protection hidden="1"/>
    </xf>
    <xf numFmtId="0" fontId="2" fillId="0" borderId="0" xfId="0" applyFont="1" applyFill="1" applyBorder="1" applyAlignment="1" applyProtection="1">
      <alignment vertical="center"/>
      <protection hidden="1"/>
    </xf>
    <xf numFmtId="0" fontId="1" fillId="0" borderId="0" xfId="0" applyFont="1" applyFill="1" applyBorder="1" applyAlignment="1" applyProtection="1">
      <alignment vertical="center"/>
      <protection hidden="1"/>
    </xf>
    <xf numFmtId="183" fontId="14" fillId="7" borderId="53" xfId="4" applyNumberFormat="1" applyFont="1" applyFill="1" applyBorder="1" applyAlignment="1" applyProtection="1">
      <alignment horizontal="center" vertical="center"/>
      <protection locked="0" hidden="1"/>
    </xf>
    <xf numFmtId="0" fontId="14" fillId="6" borderId="54" xfId="0" applyFont="1" applyFill="1" applyBorder="1" applyAlignment="1" applyProtection="1">
      <alignment horizontal="left" vertical="center" indent="1"/>
      <protection locked="0" hidden="1"/>
    </xf>
    <xf numFmtId="0" fontId="14" fillId="6" borderId="15" xfId="0" applyFont="1" applyFill="1" applyBorder="1" applyAlignment="1" applyProtection="1">
      <alignment horizontal="center" vertical="center"/>
      <protection locked="0" hidden="1"/>
    </xf>
    <xf numFmtId="168" fontId="18" fillId="0" borderId="11" xfId="0" applyNumberFormat="1" applyFont="1" applyFill="1" applyBorder="1" applyAlignment="1" applyProtection="1">
      <alignment horizontal="right" vertical="center" indent="1"/>
      <protection locked="0" hidden="1"/>
    </xf>
    <xf numFmtId="0" fontId="17" fillId="0" borderId="9" xfId="0" applyFont="1" applyBorder="1" applyAlignment="1" applyProtection="1">
      <alignment horizontal="left" vertical="center" indent="1"/>
      <protection locked="0" hidden="1"/>
    </xf>
    <xf numFmtId="0" fontId="17" fillId="0" borderId="11" xfId="0" applyFont="1" applyBorder="1" applyAlignment="1" applyProtection="1">
      <alignment horizontal="left" vertical="center" indent="1"/>
      <protection locked="0" hidden="1"/>
    </xf>
    <xf numFmtId="0" fontId="17" fillId="0" borderId="54" xfId="0" applyFont="1" applyBorder="1" applyAlignment="1" applyProtection="1">
      <alignment horizontal="left" vertical="center" indent="1"/>
      <protection locked="0" hidden="1"/>
    </xf>
    <xf numFmtId="0" fontId="17" fillId="0" borderId="55" xfId="0" applyFont="1" applyBorder="1" applyAlignment="1" applyProtection="1">
      <alignment horizontal="left" vertical="center" indent="1"/>
      <protection locked="0" hidden="1"/>
    </xf>
    <xf numFmtId="169" fontId="17" fillId="0" borderId="46" xfId="0" applyNumberFormat="1" applyFont="1" applyFill="1" applyBorder="1" applyAlignment="1" applyProtection="1">
      <alignment horizontal="left" vertical="center" indent="2"/>
      <protection locked="0" hidden="1"/>
    </xf>
    <xf numFmtId="14" fontId="15" fillId="13" borderId="15" xfId="4" applyNumberFormat="1" applyFont="1" applyFill="1" applyBorder="1" applyAlignment="1" applyProtection="1">
      <alignment horizontal="center" vertical="center"/>
      <protection locked="0" hidden="1"/>
    </xf>
    <xf numFmtId="0" fontId="47" fillId="0" borderId="0" xfId="4" applyFont="1" applyFill="1" applyBorder="1" applyAlignment="1" applyProtection="1">
      <alignment vertical="center"/>
      <protection hidden="1"/>
    </xf>
    <xf numFmtId="0" fontId="42" fillId="0" borderId="53" xfId="4" applyFont="1" applyFill="1" applyBorder="1" applyAlignment="1" applyProtection="1">
      <alignment vertical="center"/>
      <protection hidden="1"/>
    </xf>
    <xf numFmtId="0" fontId="41" fillId="13" borderId="16" xfId="4" applyFont="1" applyFill="1" applyBorder="1" applyAlignment="1" applyProtection="1">
      <alignment horizontal="center" vertical="center"/>
      <protection locked="0" hidden="1"/>
    </xf>
    <xf numFmtId="0" fontId="53" fillId="0" borderId="0" xfId="4" applyFont="1" applyFill="1" applyBorder="1" applyAlignment="1" applyProtection="1">
      <alignment horizontal="justify" vertical="center"/>
      <protection hidden="1"/>
    </xf>
    <xf numFmtId="0" fontId="5" fillId="0" borderId="0" xfId="0" applyFont="1" applyFill="1" applyBorder="1" applyAlignment="1" applyProtection="1">
      <alignment vertical="center"/>
      <protection locked="0" hidden="1"/>
    </xf>
    <xf numFmtId="14" fontId="44" fillId="9" borderId="84" xfId="4" applyNumberFormat="1" applyFont="1" applyFill="1" applyBorder="1" applyAlignment="1" applyProtection="1">
      <alignment horizontal="center" vertical="center" wrapText="1"/>
      <protection hidden="1"/>
    </xf>
    <xf numFmtId="49" fontId="44" fillId="9" borderId="85" xfId="4" applyNumberFormat="1" applyFont="1" applyFill="1" applyBorder="1" applyAlignment="1" applyProtection="1">
      <alignment horizontal="center" vertical="center" wrapText="1"/>
      <protection hidden="1"/>
    </xf>
    <xf numFmtId="0" fontId="44" fillId="9" borderId="85" xfId="4" applyFont="1" applyFill="1" applyBorder="1" applyAlignment="1" applyProtection="1">
      <alignment horizontal="center" vertical="center" wrapText="1"/>
      <protection hidden="1"/>
    </xf>
    <xf numFmtId="0" fontId="44" fillId="9" borderId="87" xfId="4" applyFont="1" applyFill="1" applyBorder="1" applyAlignment="1" applyProtection="1">
      <alignment horizontal="center" vertical="center" wrapText="1"/>
      <protection hidden="1"/>
    </xf>
    <xf numFmtId="0" fontId="44" fillId="9" borderId="88" xfId="4" applyFont="1" applyFill="1" applyBorder="1" applyAlignment="1" applyProtection="1">
      <alignment horizontal="center" vertical="center" wrapText="1"/>
      <protection hidden="1"/>
    </xf>
    <xf numFmtId="14" fontId="42" fillId="5" borderId="89" xfId="4" applyNumberFormat="1" applyFont="1" applyFill="1" applyBorder="1" applyAlignment="1" applyProtection="1">
      <alignment horizontal="center" vertical="center" wrapText="1"/>
      <protection hidden="1"/>
    </xf>
    <xf numFmtId="49" fontId="42" fillId="5" borderId="90" xfId="4" applyNumberFormat="1" applyFont="1" applyFill="1" applyBorder="1" applyAlignment="1" applyProtection="1">
      <alignment horizontal="center" vertical="center" wrapText="1"/>
      <protection hidden="1"/>
    </xf>
    <xf numFmtId="14" fontId="42" fillId="5" borderId="95" xfId="4" applyNumberFormat="1" applyFont="1" applyFill="1" applyBorder="1" applyAlignment="1" applyProtection="1">
      <alignment horizontal="center" vertical="center" wrapText="1"/>
      <protection hidden="1"/>
    </xf>
    <xf numFmtId="49" fontId="42" fillId="5" borderId="96" xfId="4" applyNumberFormat="1" applyFont="1" applyFill="1" applyBorder="1" applyAlignment="1" applyProtection="1">
      <alignment horizontal="center" vertical="center" wrapText="1"/>
      <protection hidden="1"/>
    </xf>
    <xf numFmtId="183" fontId="1" fillId="0" borderId="98" xfId="0" applyNumberFormat="1" applyFont="1" applyFill="1" applyBorder="1" applyAlignment="1" applyProtection="1">
      <alignment horizontal="right" vertical="center"/>
      <protection locked="0"/>
    </xf>
    <xf numFmtId="0" fontId="14" fillId="7" borderId="98" xfId="4" applyFont="1" applyFill="1" applyBorder="1" applyAlignment="1" applyProtection="1">
      <alignment horizontal="center" vertical="center"/>
      <protection locked="0" hidden="1"/>
    </xf>
    <xf numFmtId="169" fontId="15" fillId="0" borderId="98" xfId="4" applyNumberFormat="1" applyFont="1" applyBorder="1" applyAlignment="1" applyProtection="1">
      <alignment horizontal="right" vertical="center"/>
      <protection locked="0" hidden="1"/>
    </xf>
    <xf numFmtId="169" fontId="14" fillId="15" borderId="98" xfId="4" applyNumberFormat="1" applyFont="1" applyFill="1" applyBorder="1" applyAlignment="1" applyProtection="1">
      <alignment horizontal="right" vertical="center"/>
      <protection locked="0" hidden="1"/>
    </xf>
    <xf numFmtId="0" fontId="1" fillId="0" borderId="0" xfId="0" applyFont="1" applyFill="1" applyBorder="1" applyAlignment="1" applyProtection="1">
      <alignment vertical="center"/>
      <protection hidden="1"/>
    </xf>
    <xf numFmtId="0" fontId="17" fillId="0" borderId="51" xfId="0" applyFont="1" applyBorder="1" applyAlignment="1" applyProtection="1">
      <alignment horizontal="left" vertical="center" indent="1"/>
      <protection locked="0" hidden="1"/>
    </xf>
    <xf numFmtId="0" fontId="12" fillId="13" borderId="15" xfId="0" applyFont="1" applyFill="1" applyBorder="1" applyAlignment="1" applyProtection="1">
      <alignment vertical="center"/>
      <protection locked="0" hidden="1"/>
    </xf>
    <xf numFmtId="0" fontId="70" fillId="0" borderId="0" xfId="0" applyFont="1" applyFill="1" applyBorder="1" applyAlignment="1" applyProtection="1">
      <alignment horizontal="left" vertical="center" indent="1"/>
      <protection hidden="1"/>
    </xf>
    <xf numFmtId="165" fontId="15" fillId="0" borderId="0" xfId="4" applyNumberFormat="1" applyFont="1" applyAlignment="1" applyProtection="1">
      <alignment vertical="center"/>
      <protection locked="0" hidden="1"/>
    </xf>
    <xf numFmtId="168" fontId="18" fillId="0" borderId="10" xfId="0" applyNumberFormat="1" applyFont="1" applyFill="1" applyBorder="1" applyAlignment="1" applyProtection="1">
      <alignment vertical="center"/>
      <protection locked="0" hidden="1"/>
    </xf>
    <xf numFmtId="168" fontId="18" fillId="13" borderId="99" xfId="0" applyNumberFormat="1" applyFont="1" applyFill="1" applyBorder="1" applyAlignment="1" applyProtection="1">
      <alignment vertical="center"/>
      <protection locked="0" hidden="1"/>
    </xf>
    <xf numFmtId="168" fontId="18" fillId="13" borderId="101" xfId="0" applyNumberFormat="1" applyFont="1" applyFill="1" applyBorder="1" applyAlignment="1" applyProtection="1">
      <alignment vertical="center"/>
      <protection locked="0" hidden="1"/>
    </xf>
    <xf numFmtId="164" fontId="1" fillId="0" borderId="0" xfId="0" applyNumberFormat="1" applyFont="1" applyFill="1" applyBorder="1" applyAlignment="1" applyProtection="1">
      <alignment vertical="center"/>
      <protection hidden="1"/>
    </xf>
    <xf numFmtId="0" fontId="71" fillId="0" borderId="0" xfId="4" applyFont="1" applyAlignment="1" applyProtection="1">
      <alignment vertical="center"/>
      <protection locked="0" hidden="1"/>
    </xf>
    <xf numFmtId="0" fontId="15" fillId="0" borderId="98" xfId="4" applyFont="1" applyBorder="1" applyAlignment="1" applyProtection="1">
      <alignment horizontal="center" vertical="center"/>
      <protection locked="0" hidden="1"/>
    </xf>
    <xf numFmtId="0" fontId="15" fillId="13" borderId="98" xfId="4" applyFont="1" applyFill="1" applyBorder="1" applyAlignment="1" applyProtection="1">
      <alignment vertical="center"/>
      <protection locked="0" hidden="1"/>
    </xf>
    <xf numFmtId="0" fontId="15" fillId="0" borderId="101" xfId="4" applyFont="1" applyBorder="1" applyAlignment="1" applyProtection="1">
      <alignment vertical="center"/>
      <protection locked="0" hidden="1"/>
    </xf>
    <xf numFmtId="0" fontId="15" fillId="0" borderId="99" xfId="4" applyFont="1" applyBorder="1" applyAlignment="1" applyProtection="1">
      <alignment horizontal="left" vertical="center" indent="1"/>
      <protection locked="0" hidden="1"/>
    </xf>
    <xf numFmtId="0" fontId="15" fillId="0" borderId="98" xfId="4" applyFont="1" applyBorder="1" applyAlignment="1" applyProtection="1">
      <alignment horizontal="left" vertical="center" indent="1"/>
      <protection locked="0" hidden="1"/>
    </xf>
    <xf numFmtId="0" fontId="1" fillId="0" borderId="0" xfId="0" applyFont="1" applyFill="1" applyBorder="1" applyAlignment="1" applyProtection="1">
      <protection hidden="1"/>
    </xf>
    <xf numFmtId="0" fontId="24" fillId="4" borderId="98" xfId="0" applyFont="1" applyFill="1" applyBorder="1" applyAlignment="1" applyProtection="1">
      <alignment horizontal="center" vertical="center"/>
      <protection locked="0" hidden="1"/>
    </xf>
    <xf numFmtId="0" fontId="17" fillId="15" borderId="98" xfId="0" applyFont="1" applyFill="1" applyBorder="1" applyAlignment="1" applyProtection="1">
      <alignment horizontal="center" vertical="center"/>
      <protection hidden="1"/>
    </xf>
    <xf numFmtId="183" fontId="1" fillId="11" borderId="9" xfId="0" applyNumberFormat="1" applyFont="1" applyFill="1" applyBorder="1" applyAlignment="1" applyProtection="1">
      <alignment horizontal="right" vertical="center"/>
      <protection locked="0"/>
    </xf>
    <xf numFmtId="185" fontId="20" fillId="11" borderId="15" xfId="0" applyNumberFormat="1" applyFont="1" applyFill="1" applyBorder="1" applyAlignment="1" applyProtection="1">
      <alignment vertical="center"/>
      <protection locked="0"/>
    </xf>
    <xf numFmtId="0" fontId="1" fillId="0" borderId="0" xfId="0" applyFont="1" applyFill="1" applyAlignment="1" applyProtection="1">
      <alignment horizontal="center" vertical="center"/>
      <protection hidden="1"/>
    </xf>
    <xf numFmtId="0" fontId="11" fillId="0" borderId="0" xfId="0" applyFont="1" applyFill="1" applyAlignment="1" applyProtection="1">
      <alignment horizontal="center" vertical="center"/>
      <protection hidden="1"/>
    </xf>
    <xf numFmtId="0" fontId="15" fillId="0" borderId="101" xfId="4" applyFont="1" applyBorder="1" applyAlignment="1" applyProtection="1">
      <alignment horizontal="left" vertical="center" indent="1"/>
      <protection locked="0" hidden="1"/>
    </xf>
    <xf numFmtId="0" fontId="1" fillId="0" borderId="0" xfId="0" applyFont="1" applyFill="1" applyBorder="1" applyAlignment="1" applyProtection="1">
      <alignment vertical="center"/>
      <protection hidden="1"/>
    </xf>
    <xf numFmtId="0" fontId="74" fillId="0" borderId="0" xfId="0" applyFont="1" applyFill="1" applyBorder="1" applyAlignment="1" applyProtection="1">
      <alignment horizontal="right" vertical="center"/>
      <protection hidden="1"/>
    </xf>
    <xf numFmtId="0" fontId="2" fillId="0" borderId="0" xfId="0" applyFont="1" applyAlignment="1" applyProtection="1">
      <alignment vertical="center"/>
      <protection hidden="1"/>
    </xf>
    <xf numFmtId="0" fontId="2" fillId="0" borderId="0" xfId="0" applyFont="1" applyAlignment="1" applyProtection="1">
      <alignment horizontal="center" vertical="center"/>
      <protection hidden="1"/>
    </xf>
    <xf numFmtId="0" fontId="17" fillId="19" borderId="53" xfId="0" applyFont="1" applyFill="1" applyBorder="1" applyAlignment="1" applyProtection="1">
      <alignment horizontal="center" vertical="center"/>
      <protection hidden="1"/>
    </xf>
    <xf numFmtId="0" fontId="76" fillId="0" borderId="0" xfId="0" applyFont="1" applyAlignment="1" applyProtection="1">
      <alignment wrapText="1"/>
      <protection hidden="1"/>
    </xf>
    <xf numFmtId="0" fontId="63" fillId="0" borderId="104" xfId="0" applyFont="1" applyFill="1" applyBorder="1" applyAlignment="1" applyProtection="1">
      <alignment vertical="top"/>
      <protection hidden="1"/>
    </xf>
    <xf numFmtId="0" fontId="21" fillId="0" borderId="103" xfId="0" quotePrefix="1" applyFont="1" applyFill="1" applyBorder="1" applyAlignment="1" applyProtection="1">
      <alignment vertical="top"/>
      <protection hidden="1"/>
    </xf>
    <xf numFmtId="0" fontId="1" fillId="0" borderId="103" xfId="0" applyFont="1" applyFill="1" applyBorder="1" applyAlignment="1" applyProtection="1">
      <alignment vertical="top"/>
      <protection hidden="1"/>
    </xf>
    <xf numFmtId="0" fontId="1" fillId="0" borderId="103" xfId="0" applyFont="1" applyFill="1" applyBorder="1" applyAlignment="1" applyProtection="1">
      <alignment horizontal="right" vertical="top"/>
      <protection hidden="1"/>
    </xf>
    <xf numFmtId="168" fontId="1" fillId="0" borderId="103" xfId="0" applyNumberFormat="1" applyFont="1" applyFill="1" applyBorder="1" applyAlignment="1" applyProtection="1">
      <alignment vertical="top"/>
      <protection hidden="1"/>
    </xf>
    <xf numFmtId="168" fontId="1" fillId="0" borderId="103" xfId="0" applyNumberFormat="1" applyFont="1" applyFill="1" applyBorder="1" applyAlignment="1" applyProtection="1">
      <alignment horizontal="left" vertical="top"/>
      <protection hidden="1"/>
    </xf>
    <xf numFmtId="0" fontId="1" fillId="0" borderId="50" xfId="0" applyFont="1" applyBorder="1" applyAlignment="1" applyProtection="1">
      <alignment vertical="center"/>
      <protection hidden="1"/>
    </xf>
    <xf numFmtId="0" fontId="1" fillId="0" borderId="6" xfId="0" applyFont="1" applyBorder="1" applyAlignment="1" applyProtection="1">
      <alignment vertical="center"/>
      <protection hidden="1"/>
    </xf>
    <xf numFmtId="0" fontId="1" fillId="0" borderId="13" xfId="0" applyFont="1" applyBorder="1" applyAlignment="1" applyProtection="1">
      <alignment vertical="center"/>
      <protection hidden="1"/>
    </xf>
    <xf numFmtId="168" fontId="17" fillId="0" borderId="99" xfId="0" applyNumberFormat="1" applyFont="1" applyFill="1" applyBorder="1" applyAlignment="1" applyProtection="1">
      <alignment horizontal="center" vertical="center"/>
      <protection locked="0" hidden="1"/>
    </xf>
    <xf numFmtId="0" fontId="1" fillId="11" borderId="99" xfId="0" applyFont="1" applyFill="1" applyBorder="1" applyAlignment="1" applyProtection="1">
      <alignment horizontal="left" vertical="center" indent="1"/>
      <protection hidden="1"/>
    </xf>
    <xf numFmtId="0" fontId="1" fillId="0" borderId="99" xfId="0" applyFont="1" applyFill="1" applyBorder="1" applyAlignment="1" applyProtection="1">
      <alignment horizontal="left" vertical="center" indent="1"/>
      <protection locked="0"/>
    </xf>
    <xf numFmtId="0" fontId="1" fillId="11" borderId="100" xfId="0" applyFont="1" applyFill="1" applyBorder="1" applyAlignment="1" applyProtection="1">
      <alignment vertical="center"/>
      <protection hidden="1"/>
    </xf>
    <xf numFmtId="0" fontId="1" fillId="11" borderId="101" xfId="0" applyFont="1" applyFill="1" applyBorder="1" applyAlignment="1" applyProtection="1">
      <alignment vertical="center"/>
      <protection hidden="1"/>
    </xf>
    <xf numFmtId="0" fontId="1" fillId="0" borderId="100" xfId="0" applyFont="1" applyFill="1" applyBorder="1" applyAlignment="1" applyProtection="1">
      <alignment vertical="center"/>
      <protection locked="0"/>
    </xf>
    <xf numFmtId="0" fontId="1" fillId="0" borderId="101" xfId="0" applyFont="1" applyFill="1" applyBorder="1" applyAlignment="1" applyProtection="1">
      <alignment vertical="center"/>
      <protection locked="0"/>
    </xf>
    <xf numFmtId="0" fontId="3" fillId="0" borderId="99" xfId="4" applyFont="1" applyBorder="1" applyAlignment="1" applyProtection="1">
      <alignment horizontal="left" vertical="center" indent="1"/>
      <protection locked="0" hidden="1"/>
    </xf>
    <xf numFmtId="0" fontId="15" fillId="0" borderId="100" xfId="4" applyFont="1" applyBorder="1" applyAlignment="1" applyProtection="1">
      <alignment vertical="center"/>
      <protection locked="0" hidden="1"/>
    </xf>
    <xf numFmtId="0" fontId="15" fillId="0" borderId="99" xfId="4" applyFont="1" applyBorder="1" applyAlignment="1" applyProtection="1">
      <alignment vertical="center"/>
      <protection locked="0" hidden="1"/>
    </xf>
    <xf numFmtId="188" fontId="15" fillId="0" borderId="98" xfId="4" applyNumberFormat="1" applyFont="1" applyBorder="1" applyAlignment="1" applyProtection="1">
      <alignment horizontal="center" vertical="center"/>
      <protection locked="0" hidden="1"/>
    </xf>
    <xf numFmtId="0" fontId="4" fillId="13" borderId="53" xfId="4" applyFont="1" applyFill="1" applyBorder="1" applyAlignment="1" applyProtection="1">
      <alignment vertical="center"/>
      <protection locked="0" hidden="1"/>
    </xf>
    <xf numFmtId="0" fontId="4" fillId="13" borderId="53" xfId="4" applyFont="1" applyFill="1" applyBorder="1" applyAlignment="1" applyProtection="1">
      <alignment horizontal="center" vertical="center"/>
      <protection locked="0" hidden="1"/>
    </xf>
    <xf numFmtId="186" fontId="11" fillId="0" borderId="0" xfId="0" applyNumberFormat="1" applyFont="1" applyFill="1" applyBorder="1" applyAlignment="1" applyProtection="1">
      <alignment vertical="center"/>
      <protection hidden="1"/>
    </xf>
    <xf numFmtId="186" fontId="12" fillId="0" borderId="0" xfId="0" applyNumberFormat="1" applyFont="1" applyFill="1" applyBorder="1" applyAlignment="1" applyProtection="1">
      <alignment vertical="center"/>
      <protection hidden="1"/>
    </xf>
    <xf numFmtId="0" fontId="14" fillId="12" borderId="98" xfId="4" applyFont="1" applyFill="1" applyBorder="1" applyAlignment="1" applyProtection="1">
      <alignment horizontal="left" vertical="center" indent="1"/>
      <protection locked="0" hidden="1"/>
    </xf>
    <xf numFmtId="164" fontId="2" fillId="0" borderId="0" xfId="0" applyNumberFormat="1" applyFont="1" applyFill="1" applyBorder="1" applyAlignment="1" applyProtection="1">
      <alignment vertical="center"/>
      <protection hidden="1"/>
    </xf>
    <xf numFmtId="164" fontId="2" fillId="0" borderId="0" xfId="0" applyNumberFormat="1" applyFont="1" applyFill="1" applyBorder="1" applyAlignment="1" applyProtection="1">
      <alignment vertical="top"/>
      <protection hidden="1"/>
    </xf>
    <xf numFmtId="168" fontId="2" fillId="0" borderId="0" xfId="0" applyNumberFormat="1" applyFont="1" applyFill="1" applyBorder="1" applyAlignment="1" applyProtection="1">
      <alignment horizontal="left" vertical="center" indent="1"/>
      <protection hidden="1"/>
    </xf>
    <xf numFmtId="168" fontId="2" fillId="0" borderId="0" xfId="0" applyNumberFormat="1" applyFont="1" applyFill="1" applyBorder="1" applyAlignment="1" applyProtection="1">
      <alignment horizontal="left" vertical="top" indent="1"/>
      <protection hidden="1"/>
    </xf>
    <xf numFmtId="0" fontId="15" fillId="12" borderId="53" xfId="4" applyFont="1" applyFill="1" applyBorder="1" applyAlignment="1" applyProtection="1">
      <alignment horizontal="left" vertical="center" indent="1"/>
      <protection locked="0" hidden="1"/>
    </xf>
    <xf numFmtId="0" fontId="15" fillId="12" borderId="98" xfId="4" applyFont="1" applyFill="1" applyBorder="1" applyAlignment="1" applyProtection="1">
      <alignment horizontal="left" vertical="center" indent="1"/>
      <protection locked="0" hidden="1"/>
    </xf>
    <xf numFmtId="0" fontId="36" fillId="15" borderId="100" xfId="0" applyFont="1" applyFill="1" applyBorder="1" applyAlignment="1" applyProtection="1">
      <alignment horizontal="center" vertical="center"/>
      <protection hidden="1"/>
    </xf>
    <xf numFmtId="0" fontId="36" fillId="16" borderId="100" xfId="0" applyFont="1" applyFill="1" applyBorder="1" applyAlignment="1" applyProtection="1">
      <alignment horizontal="center" vertical="center"/>
      <protection hidden="1"/>
    </xf>
    <xf numFmtId="0" fontId="3" fillId="11" borderId="100" xfId="0" applyFont="1" applyFill="1" applyBorder="1" applyAlignment="1" applyProtection="1">
      <alignment horizontal="center" vertical="center"/>
      <protection hidden="1"/>
    </xf>
    <xf numFmtId="189" fontId="15" fillId="0" borderId="0" xfId="4" applyNumberFormat="1" applyFont="1" applyAlignment="1" applyProtection="1">
      <alignment vertical="center"/>
      <protection locked="0" hidden="1"/>
    </xf>
    <xf numFmtId="8" fontId="11" fillId="0" borderId="0" xfId="0" applyNumberFormat="1" applyFont="1" applyFill="1" applyBorder="1" applyAlignment="1" applyProtection="1">
      <alignment vertical="center"/>
      <protection hidden="1"/>
    </xf>
    <xf numFmtId="8" fontId="12" fillId="0" borderId="0" xfId="0" applyNumberFormat="1" applyFont="1" applyFill="1" applyBorder="1" applyAlignment="1" applyProtection="1">
      <alignment vertical="center"/>
      <protection hidden="1"/>
    </xf>
    <xf numFmtId="8" fontId="15" fillId="0" borderId="53" xfId="4" applyNumberFormat="1" applyFont="1" applyBorder="1" applyAlignment="1" applyProtection="1">
      <alignment vertical="center"/>
      <protection locked="0" hidden="1"/>
    </xf>
    <xf numFmtId="8" fontId="15" fillId="0" borderId="53" xfId="4" applyNumberFormat="1" applyFont="1" applyFill="1" applyBorder="1" applyAlignment="1" applyProtection="1">
      <alignment vertical="center"/>
      <protection locked="0" hidden="1"/>
    </xf>
    <xf numFmtId="8" fontId="15" fillId="13" borderId="53" xfId="4" applyNumberFormat="1" applyFont="1" applyFill="1" applyBorder="1" applyAlignment="1" applyProtection="1">
      <alignment vertical="center"/>
      <protection locked="0" hidden="1"/>
    </xf>
    <xf numFmtId="8" fontId="15" fillId="0" borderId="98" xfId="4" applyNumberFormat="1" applyFont="1" applyBorder="1" applyAlignment="1" applyProtection="1">
      <alignment vertical="center"/>
      <protection locked="0" hidden="1"/>
    </xf>
    <xf numFmtId="8" fontId="17" fillId="13" borderId="105" xfId="0" applyNumberFormat="1" applyFont="1" applyFill="1" applyBorder="1" applyAlignment="1" applyProtection="1">
      <alignment horizontal="right" vertical="center" indent="1"/>
      <protection locked="0" hidden="1"/>
    </xf>
    <xf numFmtId="8" fontId="11" fillId="13" borderId="15" xfId="0" applyNumberFormat="1" applyFont="1" applyFill="1" applyBorder="1" applyAlignment="1" applyProtection="1">
      <alignment vertical="center"/>
      <protection locked="0" hidden="1"/>
    </xf>
    <xf numFmtId="8" fontId="14" fillId="13" borderId="98" xfId="4" applyNumberFormat="1" applyFont="1" applyFill="1" applyBorder="1" applyAlignment="1" applyProtection="1">
      <alignment vertical="center"/>
      <protection locked="0" hidden="1"/>
    </xf>
    <xf numFmtId="183" fontId="15" fillId="0" borderId="53" xfId="4" applyNumberFormat="1" applyFont="1" applyBorder="1" applyAlignment="1" applyProtection="1">
      <alignment horizontal="right" vertical="center"/>
      <protection locked="0" hidden="1"/>
    </xf>
    <xf numFmtId="183" fontId="15" fillId="0" borderId="98" xfId="4" applyNumberFormat="1" applyFont="1" applyBorder="1" applyAlignment="1" applyProtection="1">
      <alignment horizontal="right" vertical="center"/>
      <protection locked="0" hidden="1"/>
    </xf>
    <xf numFmtId="8" fontId="18" fillId="13" borderId="34" xfId="0" applyNumberFormat="1" applyFont="1" applyFill="1" applyBorder="1" applyAlignment="1" applyProtection="1">
      <alignment horizontal="right" vertical="center"/>
      <protection locked="0" hidden="1"/>
    </xf>
    <xf numFmtId="8" fontId="17" fillId="13" borderId="34" xfId="0" applyNumberFormat="1" applyFont="1" applyFill="1" applyBorder="1" applyAlignment="1" applyProtection="1">
      <alignment horizontal="right" vertical="center"/>
      <protection locked="0" hidden="1"/>
    </xf>
    <xf numFmtId="8" fontId="17" fillId="4" borderId="34" xfId="0" applyNumberFormat="1" applyFont="1" applyFill="1" applyBorder="1" applyAlignment="1" applyProtection="1">
      <alignment horizontal="right" vertical="center"/>
      <protection locked="0" hidden="1"/>
    </xf>
    <xf numFmtId="8" fontId="15" fillId="13" borderId="57" xfId="4" applyNumberFormat="1" applyFont="1" applyFill="1" applyBorder="1" applyAlignment="1" applyProtection="1">
      <alignment vertical="center"/>
      <protection locked="0" hidden="1"/>
    </xf>
    <xf numFmtId="8" fontId="15" fillId="13" borderId="48" xfId="4" applyNumberFormat="1" applyFont="1" applyFill="1" applyBorder="1" applyAlignment="1" applyProtection="1">
      <alignment vertical="center"/>
      <protection locked="0" hidden="1"/>
    </xf>
    <xf numFmtId="8" fontId="15" fillId="0" borderId="48" xfId="4" applyNumberFormat="1" applyFont="1" applyBorder="1" applyAlignment="1" applyProtection="1">
      <alignment vertical="center"/>
      <protection locked="0" hidden="1"/>
    </xf>
    <xf numFmtId="8" fontId="15" fillId="0" borderId="16" xfId="4" applyNumberFormat="1" applyFont="1" applyBorder="1" applyAlignment="1" applyProtection="1">
      <alignment vertical="center"/>
      <protection locked="0" hidden="1"/>
    </xf>
    <xf numFmtId="0" fontId="15" fillId="13" borderId="80" xfId="4" applyFont="1" applyFill="1" applyBorder="1" applyAlignment="1" applyProtection="1">
      <alignment vertical="center"/>
      <protection locked="0" hidden="1"/>
    </xf>
    <xf numFmtId="8" fontId="1" fillId="0" borderId="0" xfId="0" applyNumberFormat="1" applyFont="1" applyAlignment="1" applyProtection="1">
      <alignment vertical="center"/>
      <protection hidden="1"/>
    </xf>
    <xf numFmtId="185" fontId="15" fillId="0" borderId="53" xfId="4" applyNumberFormat="1" applyFont="1" applyBorder="1" applyAlignment="1" applyProtection="1">
      <alignment horizontal="right" vertical="center"/>
      <protection locked="0" hidden="1"/>
    </xf>
    <xf numFmtId="0" fontId="12" fillId="0" borderId="61" xfId="0" applyFont="1" applyFill="1" applyBorder="1" applyAlignment="1" applyProtection="1">
      <alignment horizontal="center" vertical="top"/>
      <protection hidden="1"/>
    </xf>
    <xf numFmtId="190" fontId="17" fillId="13" borderId="99" xfId="0" applyNumberFormat="1" applyFont="1" applyFill="1" applyBorder="1" applyAlignment="1" applyProtection="1">
      <alignment horizontal="right" vertical="center" indent="1"/>
      <protection locked="0" hidden="1"/>
    </xf>
    <xf numFmtId="0" fontId="76" fillId="0" borderId="0" xfId="0" applyFont="1" applyBorder="1" applyAlignment="1" applyProtection="1">
      <alignment wrapText="1"/>
      <protection hidden="1"/>
    </xf>
    <xf numFmtId="0" fontId="17" fillId="19" borderId="98" xfId="0" applyFont="1" applyFill="1" applyBorder="1" applyAlignment="1" applyProtection="1">
      <alignment horizontal="center" vertical="center"/>
      <protection hidden="1"/>
    </xf>
    <xf numFmtId="168" fontId="1" fillId="0" borderId="47" xfId="0" applyNumberFormat="1" applyFont="1" applyFill="1" applyBorder="1" applyAlignment="1" applyProtection="1">
      <alignment vertical="center"/>
      <protection hidden="1"/>
    </xf>
    <xf numFmtId="0" fontId="1" fillId="0" borderId="47" xfId="0" applyFont="1" applyFill="1" applyBorder="1" applyAlignment="1" applyProtection="1">
      <alignment vertical="center"/>
      <protection hidden="1"/>
    </xf>
    <xf numFmtId="8" fontId="14" fillId="13" borderId="98" xfId="4" applyNumberFormat="1" applyFont="1" applyFill="1" applyBorder="1" applyAlignment="1" applyProtection="1">
      <alignment horizontal="right" vertical="center"/>
      <protection locked="0" hidden="1"/>
    </xf>
    <xf numFmtId="0" fontId="15" fillId="0" borderId="98" xfId="4" applyFont="1" applyBorder="1" applyAlignment="1" applyProtection="1">
      <alignment vertical="center"/>
      <protection locked="0" hidden="1"/>
    </xf>
    <xf numFmtId="0" fontId="42" fillId="0" borderId="99" xfId="4" applyFont="1" applyBorder="1" applyAlignment="1" applyProtection="1">
      <alignment horizontal="left" vertical="center" indent="1"/>
      <protection locked="0" hidden="1"/>
    </xf>
    <xf numFmtId="8" fontId="11" fillId="13" borderId="104" xfId="0" quotePrefix="1" applyNumberFormat="1" applyFont="1" applyFill="1" applyBorder="1" applyAlignment="1" applyProtection="1">
      <alignment horizontal="right" vertical="center" indent="1"/>
      <protection locked="0" hidden="1"/>
    </xf>
    <xf numFmtId="0" fontId="15" fillId="0" borderId="100" xfId="4" applyFont="1" applyBorder="1" applyAlignment="1" applyProtection="1">
      <alignment horizontal="center" vertical="center"/>
      <protection locked="0" hidden="1"/>
    </xf>
    <xf numFmtId="0" fontId="15" fillId="0" borderId="101" xfId="4" applyFont="1" applyBorder="1" applyAlignment="1" applyProtection="1">
      <alignment horizontal="center" vertical="center"/>
      <protection locked="0" hidden="1"/>
    </xf>
    <xf numFmtId="0" fontId="15" fillId="7" borderId="100" xfId="4" applyFont="1" applyFill="1" applyBorder="1" applyAlignment="1" applyProtection="1">
      <alignment vertical="center"/>
      <protection locked="0" hidden="1"/>
    </xf>
    <xf numFmtId="0" fontId="15" fillId="7" borderId="100" xfId="4" applyFont="1" applyFill="1" applyBorder="1" applyAlignment="1" applyProtection="1">
      <alignment horizontal="center" vertical="center"/>
      <protection locked="0" hidden="1"/>
    </xf>
    <xf numFmtId="0" fontId="15" fillId="7" borderId="101" xfId="4" applyFont="1" applyFill="1" applyBorder="1" applyAlignment="1" applyProtection="1">
      <alignment horizontal="center" vertical="center"/>
      <protection locked="0" hidden="1"/>
    </xf>
    <xf numFmtId="183" fontId="15" fillId="13" borderId="98" xfId="4" applyNumberFormat="1" applyFont="1" applyFill="1" applyBorder="1" applyAlignment="1" applyProtection="1">
      <alignment horizontal="right" vertical="center"/>
      <protection locked="0" hidden="1"/>
    </xf>
    <xf numFmtId="182" fontId="15" fillId="13" borderId="98" xfId="4" applyNumberFormat="1" applyFont="1" applyFill="1" applyBorder="1" applyAlignment="1" applyProtection="1">
      <alignment horizontal="right" vertical="center"/>
      <protection locked="0" hidden="1"/>
    </xf>
    <xf numFmtId="0" fontId="14" fillId="0" borderId="98" xfId="4" applyFont="1" applyBorder="1" applyAlignment="1" applyProtection="1">
      <alignment horizontal="left" vertical="center" indent="1"/>
      <protection locked="0" hidden="1"/>
    </xf>
    <xf numFmtId="0" fontId="14" fillId="13" borderId="98" xfId="4" applyFont="1" applyFill="1" applyBorder="1" applyAlignment="1" applyProtection="1">
      <alignment horizontal="center" vertical="center"/>
      <protection locked="0" hidden="1"/>
    </xf>
    <xf numFmtId="0" fontId="2" fillId="0" borderId="0" xfId="0" quotePrefix="1" applyFont="1" applyFill="1" applyBorder="1" applyAlignment="1" applyProtection="1">
      <alignment horizontal="right" vertical="center" indent="1"/>
      <protection hidden="1"/>
    </xf>
    <xf numFmtId="0" fontId="4" fillId="13" borderId="43" xfId="4" applyFont="1" applyFill="1" applyBorder="1" applyAlignment="1" applyProtection="1">
      <alignment horizontal="center" vertical="center"/>
      <protection locked="0" hidden="1"/>
    </xf>
    <xf numFmtId="0" fontId="15" fillId="13" borderId="98" xfId="4" applyFont="1" applyFill="1" applyBorder="1" applyAlignment="1" applyProtection="1">
      <alignment horizontal="center" vertical="center"/>
      <protection locked="0" hidden="1"/>
    </xf>
    <xf numFmtId="0" fontId="15" fillId="0" borderId="98" xfId="4" applyFont="1" applyFill="1" applyBorder="1" applyAlignment="1" applyProtection="1">
      <alignment horizontal="center" vertical="center"/>
      <protection locked="0" hidden="1"/>
    </xf>
    <xf numFmtId="7" fontId="15" fillId="0" borderId="0" xfId="4" applyNumberFormat="1" applyFont="1" applyAlignment="1" applyProtection="1">
      <alignment vertical="center"/>
      <protection locked="0" hidden="1"/>
    </xf>
    <xf numFmtId="0" fontId="42" fillId="19" borderId="53" xfId="4" applyFont="1" applyFill="1" applyBorder="1" applyAlignment="1" applyProtection="1">
      <alignment vertical="center"/>
      <protection hidden="1"/>
    </xf>
    <xf numFmtId="0" fontId="78" fillId="0" borderId="4" xfId="0" applyFont="1" applyFill="1" applyBorder="1" applyAlignment="1" applyProtection="1">
      <alignment horizontal="center" vertical="top"/>
      <protection hidden="1"/>
    </xf>
    <xf numFmtId="0" fontId="78" fillId="0" borderId="4" xfId="0" applyFont="1" applyFill="1" applyBorder="1" applyAlignment="1" applyProtection="1">
      <alignment horizontal="center" vertical="center"/>
      <protection hidden="1"/>
    </xf>
    <xf numFmtId="0" fontId="14" fillId="19" borderId="98" xfId="4" applyFont="1" applyFill="1" applyBorder="1" applyAlignment="1" applyProtection="1">
      <alignment horizontal="center" vertical="center"/>
      <protection locked="0" hidden="1"/>
    </xf>
    <xf numFmtId="0" fontId="1" fillId="0" borderId="5" xfId="0" applyFont="1" applyFill="1" applyBorder="1" applyAlignment="1" applyProtection="1">
      <alignment horizontal="center" vertical="center"/>
      <protection hidden="1"/>
    </xf>
    <xf numFmtId="0" fontId="78" fillId="0" borderId="5" xfId="0" applyFont="1" applyFill="1" applyBorder="1" applyAlignment="1" applyProtection="1">
      <alignment horizontal="center" vertical="center"/>
      <protection hidden="1"/>
    </xf>
    <xf numFmtId="168" fontId="78" fillId="0" borderId="5" xfId="0" applyNumberFormat="1" applyFont="1" applyFill="1" applyBorder="1" applyAlignment="1" applyProtection="1">
      <alignment horizontal="center" vertical="center"/>
      <protection hidden="1"/>
    </xf>
    <xf numFmtId="0" fontId="78" fillId="0" borderId="5" xfId="0" applyFont="1" applyFill="1" applyBorder="1" applyAlignment="1" applyProtection="1">
      <alignment horizontal="center" vertical="top"/>
      <protection hidden="1"/>
    </xf>
    <xf numFmtId="0" fontId="1" fillId="0" borderId="0" xfId="0" applyFont="1" applyAlignment="1" applyProtection="1">
      <alignment horizontal="center" vertical="center"/>
      <protection hidden="1"/>
    </xf>
    <xf numFmtId="0" fontId="1" fillId="2" borderId="3" xfId="0" applyFont="1" applyFill="1" applyBorder="1" applyAlignment="1" applyProtection="1">
      <alignment horizontal="center" vertical="center"/>
      <protection hidden="1"/>
    </xf>
    <xf numFmtId="0" fontId="1" fillId="2" borderId="5" xfId="0" applyFont="1" applyFill="1" applyBorder="1" applyAlignment="1" applyProtection="1">
      <alignment horizontal="center" vertical="center"/>
      <protection hidden="1"/>
    </xf>
    <xf numFmtId="0" fontId="1" fillId="2" borderId="5" xfId="0" applyFont="1" applyFill="1" applyBorder="1" applyAlignment="1" applyProtection="1">
      <alignment horizontal="center" vertical="top"/>
      <protection hidden="1"/>
    </xf>
    <xf numFmtId="0" fontId="1" fillId="2" borderId="8" xfId="0" applyFont="1" applyFill="1" applyBorder="1" applyAlignment="1" applyProtection="1">
      <alignment horizontal="center" vertical="center"/>
      <protection hidden="1"/>
    </xf>
    <xf numFmtId="0" fontId="1" fillId="2" borderId="2" xfId="0" applyFont="1" applyFill="1" applyBorder="1" applyAlignment="1" applyProtection="1">
      <alignment horizontal="center" vertical="center"/>
      <protection hidden="1"/>
    </xf>
    <xf numFmtId="0" fontId="9" fillId="3" borderId="3" xfId="0" applyFont="1" applyFill="1" applyBorder="1" applyAlignment="1" applyProtection="1">
      <alignment horizontal="center" vertical="center"/>
      <protection hidden="1"/>
    </xf>
    <xf numFmtId="0" fontId="9" fillId="3" borderId="8" xfId="0" applyFont="1" applyFill="1" applyBorder="1" applyAlignment="1" applyProtection="1">
      <alignment horizontal="center" vertical="center"/>
      <protection hidden="1"/>
    </xf>
    <xf numFmtId="0" fontId="1" fillId="0" borderId="5" xfId="0" applyFont="1" applyFill="1" applyBorder="1" applyAlignment="1" applyProtection="1">
      <alignment horizontal="center" vertical="top"/>
      <protection hidden="1"/>
    </xf>
    <xf numFmtId="0" fontId="1" fillId="0" borderId="14" xfId="0" applyFont="1" applyFill="1" applyBorder="1" applyAlignment="1" applyProtection="1">
      <alignment horizontal="center" vertical="center"/>
      <protection hidden="1"/>
    </xf>
    <xf numFmtId="168" fontId="1" fillId="0" borderId="5" xfId="0" applyNumberFormat="1" applyFont="1" applyFill="1" applyBorder="1" applyAlignment="1" applyProtection="1">
      <alignment horizontal="center" vertical="center"/>
      <protection hidden="1"/>
    </xf>
    <xf numFmtId="0" fontId="1" fillId="0" borderId="8" xfId="0" applyFont="1" applyFill="1" applyBorder="1" applyAlignment="1" applyProtection="1">
      <alignment horizontal="center" vertical="center"/>
      <protection hidden="1"/>
    </xf>
    <xf numFmtId="0" fontId="1" fillId="0" borderId="3" xfId="0" applyFont="1" applyFill="1" applyBorder="1" applyAlignment="1" applyProtection="1">
      <alignment horizontal="center" vertical="top"/>
      <protection hidden="1"/>
    </xf>
    <xf numFmtId="0" fontId="1" fillId="0" borderId="79" xfId="0" applyFont="1" applyFill="1" applyBorder="1" applyAlignment="1" applyProtection="1">
      <alignment horizontal="center" vertical="top"/>
      <protection hidden="1"/>
    </xf>
    <xf numFmtId="0" fontId="1" fillId="0" borderId="5" xfId="0" applyFont="1" applyBorder="1" applyAlignment="1" applyProtection="1">
      <alignment horizontal="center" vertical="center"/>
      <protection hidden="1"/>
    </xf>
    <xf numFmtId="0" fontId="1" fillId="0" borderId="14" xfId="0" applyFont="1" applyBorder="1" applyAlignment="1" applyProtection="1">
      <alignment horizontal="center" vertical="center"/>
      <protection hidden="1"/>
    </xf>
    <xf numFmtId="0" fontId="1" fillId="2" borderId="7" xfId="0" applyFont="1" applyFill="1" applyBorder="1" applyAlignment="1" applyProtection="1">
      <alignment horizontal="center" vertical="center"/>
      <protection hidden="1"/>
    </xf>
    <xf numFmtId="0" fontId="80" fillId="0" borderId="1" xfId="0" applyFont="1" applyFill="1" applyBorder="1" applyAlignment="1" applyProtection="1">
      <alignment vertical="top"/>
      <protection hidden="1"/>
    </xf>
    <xf numFmtId="0" fontId="78" fillId="0" borderId="50" xfId="0" applyFont="1" applyFill="1" applyBorder="1" applyAlignment="1" applyProtection="1">
      <alignment horizontal="center" vertical="center"/>
      <protection hidden="1"/>
    </xf>
    <xf numFmtId="0" fontId="4" fillId="16" borderId="98" xfId="4" applyFont="1" applyFill="1" applyBorder="1" applyAlignment="1" applyProtection="1">
      <alignment horizontal="center" vertical="center"/>
      <protection locked="0"/>
    </xf>
    <xf numFmtId="0" fontId="6" fillId="3" borderId="2" xfId="0" applyFont="1" applyFill="1" applyBorder="1" applyAlignment="1" applyProtection="1">
      <alignment vertical="center"/>
      <protection hidden="1"/>
    </xf>
    <xf numFmtId="0" fontId="6" fillId="3" borderId="7" xfId="0" applyFont="1" applyFill="1" applyBorder="1" applyAlignment="1" applyProtection="1">
      <alignment vertical="center"/>
      <protection hidden="1"/>
    </xf>
    <xf numFmtId="0" fontId="81" fillId="4" borderId="54" xfId="0" applyFont="1" applyFill="1" applyBorder="1" applyAlignment="1" applyProtection="1">
      <alignment horizontal="left" vertical="center" indent="1"/>
      <protection hidden="1"/>
    </xf>
    <xf numFmtId="0" fontId="81" fillId="4" borderId="58" xfId="0" applyFont="1" applyFill="1" applyBorder="1" applyAlignment="1" applyProtection="1">
      <alignment horizontal="left" vertical="center" indent="1"/>
      <protection hidden="1"/>
    </xf>
    <xf numFmtId="0" fontId="81" fillId="4" borderId="98" xfId="0" applyFont="1" applyFill="1" applyBorder="1" applyAlignment="1" applyProtection="1">
      <alignment horizontal="center" vertical="center"/>
      <protection hidden="1"/>
    </xf>
    <xf numFmtId="0" fontId="82" fillId="0" borderId="54" xfId="0" applyFont="1" applyFill="1" applyBorder="1" applyAlignment="1" applyProtection="1">
      <alignment horizontal="left" vertical="center" indent="1"/>
      <protection hidden="1"/>
    </xf>
    <xf numFmtId="0" fontId="82" fillId="0" borderId="58" xfId="0" applyFont="1" applyFill="1" applyBorder="1" applyAlignment="1" applyProtection="1">
      <alignment vertical="center"/>
      <protection hidden="1"/>
    </xf>
    <xf numFmtId="0" fontId="82" fillId="16" borderId="98" xfId="0" applyFont="1" applyFill="1" applyBorder="1" applyAlignment="1" applyProtection="1">
      <alignment vertical="center"/>
      <protection hidden="1"/>
    </xf>
    <xf numFmtId="0" fontId="42" fillId="16" borderId="15" xfId="4" applyFont="1" applyFill="1" applyBorder="1" applyAlignment="1" applyProtection="1">
      <alignment horizontal="center" vertical="center"/>
      <protection hidden="1"/>
    </xf>
    <xf numFmtId="0" fontId="42" fillId="16" borderId="98" xfId="4" applyFont="1" applyFill="1" applyBorder="1" applyAlignment="1" applyProtection="1">
      <alignment horizontal="center" vertical="center"/>
      <protection hidden="1"/>
    </xf>
    <xf numFmtId="0" fontId="81" fillId="4" borderId="55" xfId="0" applyFont="1" applyFill="1" applyBorder="1" applyAlignment="1" applyProtection="1">
      <alignment horizontal="left" vertical="center" indent="1"/>
      <protection hidden="1"/>
    </xf>
    <xf numFmtId="0" fontId="82" fillId="0" borderId="98" xfId="0" applyFont="1" applyFill="1" applyBorder="1" applyAlignment="1" applyProtection="1">
      <alignment vertical="center"/>
      <protection hidden="1"/>
    </xf>
    <xf numFmtId="0" fontId="82" fillId="0" borderId="58" xfId="0" applyFont="1" applyFill="1" applyBorder="1" applyAlignment="1" applyProtection="1">
      <alignment horizontal="left" vertical="center" indent="1"/>
      <protection hidden="1"/>
    </xf>
    <xf numFmtId="0" fontId="82" fillId="16" borderId="98" xfId="0" applyFont="1" applyFill="1" applyBorder="1" applyAlignment="1" applyProtection="1">
      <alignment horizontal="center" vertical="center"/>
      <protection hidden="1"/>
    </xf>
    <xf numFmtId="0" fontId="82" fillId="0" borderId="10" xfId="0" applyFont="1" applyFill="1" applyBorder="1" applyAlignment="1" applyProtection="1">
      <alignment vertical="center"/>
      <protection hidden="1"/>
    </xf>
    <xf numFmtId="0" fontId="82" fillId="0" borderId="16" xfId="0" applyFont="1" applyFill="1" applyBorder="1" applyAlignment="1" applyProtection="1">
      <alignment horizontal="left" vertical="center" indent="1"/>
      <protection hidden="1"/>
    </xf>
    <xf numFmtId="0" fontId="82" fillId="0" borderId="99" xfId="0" applyFont="1" applyFill="1" applyBorder="1" applyAlignment="1" applyProtection="1">
      <alignment horizontal="left" vertical="center" indent="1"/>
      <protection hidden="1"/>
    </xf>
    <xf numFmtId="0" fontId="82" fillId="0" borderId="101" xfId="0" applyFont="1" applyFill="1" applyBorder="1" applyAlignment="1" applyProtection="1">
      <alignment horizontal="left" vertical="center" indent="1"/>
      <protection hidden="1"/>
    </xf>
    <xf numFmtId="0" fontId="82" fillId="0" borderId="53" xfId="0" applyFont="1" applyFill="1" applyBorder="1" applyAlignment="1" applyProtection="1">
      <alignment horizontal="left" vertical="center" indent="1"/>
      <protection hidden="1"/>
    </xf>
    <xf numFmtId="0" fontId="82" fillId="0" borderId="11" xfId="0" applyFont="1" applyFill="1" applyBorder="1" applyAlignment="1" applyProtection="1">
      <alignment vertical="center"/>
      <protection hidden="1"/>
    </xf>
    <xf numFmtId="169" fontId="82" fillId="0" borderId="15" xfId="0" applyNumberFormat="1" applyFont="1" applyFill="1" applyBorder="1" applyAlignment="1" applyProtection="1">
      <alignment horizontal="center" vertical="center"/>
      <protection hidden="1"/>
    </xf>
    <xf numFmtId="178" fontId="82" fillId="0" borderId="99" xfId="0" applyNumberFormat="1" applyFont="1" applyFill="1" applyBorder="1" applyAlignment="1" applyProtection="1">
      <alignment horizontal="left" vertical="center" indent="1"/>
      <protection hidden="1"/>
    </xf>
    <xf numFmtId="178" fontId="82" fillId="0" borderId="98" xfId="0" applyNumberFormat="1" applyFont="1" applyFill="1" applyBorder="1" applyAlignment="1" applyProtection="1">
      <alignment vertical="center"/>
      <protection hidden="1"/>
    </xf>
    <xf numFmtId="0" fontId="82" fillId="0" borderId="100" xfId="0" applyFont="1" applyFill="1" applyBorder="1" applyAlignment="1" applyProtection="1">
      <alignment vertical="center"/>
      <protection hidden="1"/>
    </xf>
    <xf numFmtId="0" fontId="42" fillId="0" borderId="99" xfId="4" applyFont="1" applyBorder="1" applyAlignment="1" applyProtection="1">
      <alignment horizontal="left" vertical="center" indent="1"/>
      <protection hidden="1"/>
    </xf>
    <xf numFmtId="8" fontId="42" fillId="16" borderId="98" xfId="4" applyNumberFormat="1" applyFont="1" applyFill="1" applyBorder="1" applyAlignment="1" applyProtection="1">
      <alignment vertical="center"/>
      <protection hidden="1"/>
    </xf>
    <xf numFmtId="0" fontId="42" fillId="0" borderId="100" xfId="4" applyFont="1" applyBorder="1" applyAlignment="1" applyProtection="1">
      <alignment vertical="center"/>
      <protection hidden="1"/>
    </xf>
    <xf numFmtId="169" fontId="42" fillId="16" borderId="98" xfId="4" applyNumberFormat="1" applyFont="1" applyFill="1" applyBorder="1" applyAlignment="1" applyProtection="1">
      <alignment vertical="center"/>
      <protection hidden="1"/>
    </xf>
    <xf numFmtId="0" fontId="15" fillId="19" borderId="98" xfId="4" applyNumberFormat="1" applyFont="1" applyFill="1" applyBorder="1" applyAlignment="1" applyProtection="1">
      <alignment horizontal="center" vertical="center"/>
      <protection locked="0" hidden="1"/>
    </xf>
    <xf numFmtId="0" fontId="82" fillId="0" borderId="98" xfId="0" applyFont="1" applyFill="1" applyBorder="1" applyAlignment="1" applyProtection="1">
      <alignment horizontal="left" vertical="center" indent="1"/>
      <protection hidden="1"/>
    </xf>
    <xf numFmtId="174" fontId="11" fillId="13" borderId="99" xfId="0" applyNumberFormat="1" applyFont="1" applyFill="1" applyBorder="1" applyAlignment="1" applyProtection="1">
      <alignment horizontal="right" vertical="center" indent="1"/>
      <protection locked="0" hidden="1"/>
    </xf>
    <xf numFmtId="0" fontId="14" fillId="7" borderId="53" xfId="4" applyFont="1" applyFill="1" applyBorder="1" applyAlignment="1" applyProtection="1">
      <alignment horizontal="center" vertical="center"/>
      <protection locked="0" hidden="1"/>
    </xf>
    <xf numFmtId="183" fontId="1" fillId="16" borderId="6" xfId="0" applyNumberFormat="1" applyFont="1" applyFill="1" applyBorder="1" applyAlignment="1" applyProtection="1">
      <alignment horizontal="right" vertical="center"/>
      <protection locked="0"/>
    </xf>
    <xf numFmtId="183" fontId="1" fillId="16" borderId="9" xfId="0" applyNumberFormat="1" applyFont="1" applyFill="1" applyBorder="1" applyAlignment="1" applyProtection="1">
      <alignment horizontal="right" vertical="center"/>
      <protection locked="0"/>
    </xf>
    <xf numFmtId="185" fontId="20" fillId="16" borderId="16" xfId="0" applyNumberFormat="1" applyFont="1" applyFill="1" applyBorder="1" applyAlignment="1" applyProtection="1">
      <alignment vertical="center"/>
      <protection locked="0"/>
    </xf>
    <xf numFmtId="185" fontId="20" fillId="16" borderId="15" xfId="0" applyNumberFormat="1" applyFont="1" applyFill="1" applyBorder="1" applyAlignment="1" applyProtection="1">
      <alignment vertical="center"/>
      <protection locked="0"/>
    </xf>
    <xf numFmtId="0" fontId="84" fillId="0" borderId="0" xfId="0" applyFont="1" applyFill="1" applyBorder="1" applyAlignment="1" applyProtection="1">
      <alignment vertical="center"/>
      <protection hidden="1"/>
    </xf>
    <xf numFmtId="0" fontId="34" fillId="0" borderId="0" xfId="0" quotePrefix="1" applyFont="1" applyFill="1" applyBorder="1" applyAlignment="1" applyProtection="1">
      <alignment vertical="center"/>
      <protection hidden="1"/>
    </xf>
    <xf numFmtId="0" fontId="69" fillId="0" borderId="0" xfId="0" applyFont="1" applyFill="1" applyBorder="1" applyAlignment="1" applyProtection="1">
      <alignment horizontal="right" vertical="center"/>
      <protection hidden="1"/>
    </xf>
    <xf numFmtId="0" fontId="69" fillId="0" borderId="0" xfId="0" applyFont="1" applyFill="1" applyBorder="1" applyAlignment="1" applyProtection="1">
      <alignment vertical="center"/>
      <protection hidden="1"/>
    </xf>
    <xf numFmtId="0" fontId="14" fillId="19" borderId="98" xfId="4" applyFont="1" applyFill="1" applyBorder="1" applyAlignment="1" applyProtection="1">
      <alignment vertical="center"/>
      <protection locked="0" hidden="1"/>
    </xf>
    <xf numFmtId="0" fontId="1" fillId="0" borderId="0" xfId="0" applyFont="1" applyBorder="1" applyAlignment="1" applyProtection="1">
      <alignment vertical="center"/>
      <protection hidden="1"/>
    </xf>
    <xf numFmtId="168" fontId="1" fillId="0" borderId="0" xfId="0" applyNumberFormat="1" applyFont="1" applyBorder="1" applyAlignment="1" applyProtection="1">
      <alignment vertical="center"/>
      <protection hidden="1"/>
    </xf>
    <xf numFmtId="165" fontId="1" fillId="0" borderId="106" xfId="0" applyNumberFormat="1" applyFont="1" applyBorder="1" applyAlignment="1" applyProtection="1">
      <alignment vertical="center"/>
      <protection hidden="1"/>
    </xf>
    <xf numFmtId="0" fontId="1" fillId="0" borderId="106" xfId="0" applyFont="1" applyBorder="1" applyAlignment="1" applyProtection="1">
      <alignment vertical="center"/>
      <protection hidden="1"/>
    </xf>
    <xf numFmtId="0" fontId="85" fillId="17" borderId="99" xfId="4" applyFont="1" applyFill="1" applyBorder="1" applyAlignment="1" applyProtection="1">
      <alignment horizontal="left" vertical="center" indent="1"/>
      <protection hidden="1"/>
    </xf>
    <xf numFmtId="0" fontId="85" fillId="17" borderId="100" xfId="4" applyFont="1" applyFill="1" applyBorder="1" applyAlignment="1" applyProtection="1">
      <alignment horizontal="left" vertical="center" indent="1"/>
      <protection hidden="1"/>
    </xf>
    <xf numFmtId="0" fontId="85" fillId="17" borderId="98" xfId="4" applyFont="1" applyFill="1" applyBorder="1" applyAlignment="1" applyProtection="1">
      <alignment horizontal="center" vertical="center"/>
      <protection hidden="1"/>
    </xf>
    <xf numFmtId="0" fontId="42" fillId="0" borderId="98" xfId="4" applyFont="1" applyFill="1" applyBorder="1" applyAlignment="1" applyProtection="1">
      <alignment horizontal="center" vertical="center"/>
      <protection hidden="1"/>
    </xf>
    <xf numFmtId="0" fontId="29" fillId="0" borderId="98" xfId="0" applyFont="1" applyFill="1" applyBorder="1" applyAlignment="1" applyProtection="1">
      <alignment horizontal="center" vertical="center"/>
      <protection hidden="1"/>
    </xf>
    <xf numFmtId="0" fontId="14" fillId="7" borderId="98" xfId="4" applyFont="1" applyFill="1" applyBorder="1" applyAlignment="1" applyProtection="1">
      <alignment horizontal="center" vertical="center"/>
      <protection locked="0" hidden="1"/>
    </xf>
    <xf numFmtId="0" fontId="3" fillId="18" borderId="67" xfId="4" applyFont="1" applyFill="1" applyBorder="1" applyAlignment="1" applyProtection="1">
      <alignment horizontal="left" vertical="center" indent="1"/>
      <protection hidden="1"/>
    </xf>
    <xf numFmtId="0" fontId="42" fillId="4" borderId="67" xfId="4" applyFont="1" applyFill="1" applyBorder="1" applyAlignment="1" applyProtection="1">
      <alignment horizontal="left" vertical="center" indent="1"/>
      <protection hidden="1"/>
    </xf>
    <xf numFmtId="0" fontId="42" fillId="4" borderId="72" xfId="4" applyFont="1" applyFill="1" applyBorder="1" applyAlignment="1" applyProtection="1">
      <alignment horizontal="left" vertical="center" indent="1"/>
      <protection hidden="1"/>
    </xf>
    <xf numFmtId="0" fontId="42" fillId="4" borderId="73" xfId="4" applyFont="1" applyFill="1" applyBorder="1" applyAlignment="1" applyProtection="1">
      <alignment vertical="center"/>
      <protection hidden="1"/>
    </xf>
    <xf numFmtId="0" fontId="42" fillId="4" borderId="107" xfId="4" applyFont="1" applyFill="1" applyBorder="1" applyAlignment="1" applyProtection="1">
      <alignment vertical="center"/>
      <protection hidden="1"/>
    </xf>
    <xf numFmtId="0" fontId="15" fillId="0" borderId="100" xfId="4" applyFont="1" applyBorder="1" applyAlignment="1" applyProtection="1">
      <alignment vertical="center"/>
      <protection hidden="1"/>
    </xf>
    <xf numFmtId="191" fontId="15" fillId="13" borderId="98" xfId="4" applyNumberFormat="1" applyFont="1" applyFill="1" applyBorder="1" applyAlignment="1" applyProtection="1">
      <alignment horizontal="right" vertical="center"/>
      <protection locked="0" hidden="1"/>
    </xf>
    <xf numFmtId="0" fontId="0" fillId="0" borderId="5" xfId="0" applyBorder="1" applyAlignment="1">
      <alignment vertical="center"/>
    </xf>
    <xf numFmtId="183" fontId="88" fillId="15" borderId="98" xfId="4" applyNumberFormat="1" applyFont="1" applyFill="1" applyBorder="1" applyAlignment="1" applyProtection="1">
      <alignment vertical="center"/>
      <protection hidden="1"/>
    </xf>
    <xf numFmtId="191" fontId="88" fillId="15" borderId="98" xfId="4" applyNumberFormat="1" applyFont="1" applyFill="1" applyBorder="1" applyAlignment="1" applyProtection="1">
      <alignment vertical="center"/>
      <protection hidden="1"/>
    </xf>
    <xf numFmtId="168" fontId="15" fillId="0" borderId="0" xfId="4" applyNumberFormat="1" applyFont="1" applyAlignment="1" applyProtection="1">
      <alignment vertical="center"/>
      <protection locked="0" hidden="1"/>
    </xf>
    <xf numFmtId="0" fontId="6" fillId="3" borderId="13" xfId="0" applyFont="1" applyFill="1" applyBorder="1" applyAlignment="1" applyProtection="1">
      <alignment vertical="center"/>
      <protection hidden="1"/>
    </xf>
    <xf numFmtId="0" fontId="6" fillId="3" borderId="103" xfId="0" applyFont="1" applyFill="1" applyBorder="1" applyAlignment="1" applyProtection="1">
      <alignment vertical="center"/>
      <protection hidden="1"/>
    </xf>
    <xf numFmtId="168" fontId="15" fillId="13" borderId="98" xfId="0" quotePrefix="1" applyNumberFormat="1" applyFont="1" applyFill="1" applyBorder="1" applyAlignment="1" applyProtection="1">
      <alignment vertical="center"/>
      <protection locked="0" hidden="1"/>
    </xf>
    <xf numFmtId="174" fontId="17" fillId="13" borderId="104" xfId="0" applyNumberFormat="1" applyFont="1" applyFill="1" applyBorder="1" applyAlignment="1" applyProtection="1">
      <alignment horizontal="right" vertical="center"/>
      <protection locked="0" hidden="1"/>
    </xf>
    <xf numFmtId="168" fontId="4" fillId="13" borderId="105" xfId="0" applyNumberFormat="1" applyFont="1" applyFill="1" applyBorder="1" applyAlignment="1" applyProtection="1">
      <alignment horizontal="right" vertical="center"/>
      <protection locked="0" hidden="1"/>
    </xf>
    <xf numFmtId="168" fontId="17" fillId="0" borderId="99" xfId="0" applyNumberFormat="1" applyFont="1" applyFill="1" applyBorder="1" applyAlignment="1" applyProtection="1">
      <alignment vertical="center"/>
      <protection locked="0" hidden="1"/>
    </xf>
    <xf numFmtId="168" fontId="17" fillId="0" borderId="101" xfId="0" applyNumberFormat="1" applyFont="1" applyFill="1" applyBorder="1" applyAlignment="1" applyProtection="1">
      <alignment horizontal="right" vertical="center" indent="1"/>
      <protection locked="0" hidden="1"/>
    </xf>
    <xf numFmtId="168" fontId="17" fillId="13" borderId="98" xfId="0" applyNumberFormat="1" applyFont="1" applyFill="1" applyBorder="1" applyAlignment="1" applyProtection="1">
      <alignment vertical="center"/>
      <protection locked="0" hidden="1"/>
    </xf>
    <xf numFmtId="168" fontId="4" fillId="0" borderId="99" xfId="0" quotePrefix="1" applyNumberFormat="1" applyFont="1" applyFill="1" applyBorder="1" applyAlignment="1" applyProtection="1">
      <alignment horizontal="left" vertical="center" indent="1"/>
      <protection locked="0" hidden="1"/>
    </xf>
    <xf numFmtId="168" fontId="4" fillId="0" borderId="100" xfId="0" quotePrefix="1" applyNumberFormat="1" applyFont="1" applyFill="1" applyBorder="1" applyAlignment="1" applyProtection="1">
      <alignment vertical="center"/>
      <protection locked="0" hidden="1"/>
    </xf>
    <xf numFmtId="185" fontId="15" fillId="13" borderId="98" xfId="4" applyNumberFormat="1" applyFont="1" applyFill="1" applyBorder="1" applyAlignment="1" applyProtection="1">
      <alignment horizontal="center" vertical="center"/>
      <protection locked="0" hidden="1"/>
    </xf>
    <xf numFmtId="8" fontId="17" fillId="13" borderId="27" xfId="0" applyNumberFormat="1" applyFont="1" applyFill="1" applyBorder="1" applyAlignment="1" applyProtection="1">
      <alignment horizontal="right" vertical="center"/>
      <protection locked="0" hidden="1"/>
    </xf>
    <xf numFmtId="0" fontId="14" fillId="7" borderId="98" xfId="4" applyFont="1" applyFill="1" applyBorder="1" applyAlignment="1" applyProtection="1">
      <alignment horizontal="center" vertical="center"/>
      <protection locked="0" hidden="1"/>
    </xf>
    <xf numFmtId="0" fontId="91" fillId="0" borderId="4" xfId="0" applyFont="1" applyFill="1" applyBorder="1" applyAlignment="1" applyProtection="1">
      <alignment vertical="top"/>
      <protection hidden="1"/>
    </xf>
    <xf numFmtId="191" fontId="15" fillId="0" borderId="0" xfId="4" applyNumberFormat="1" applyFont="1" applyAlignment="1" applyProtection="1">
      <alignment vertical="center"/>
      <protection locked="0" hidden="1"/>
    </xf>
    <xf numFmtId="0" fontId="17" fillId="0" borderId="52" xfId="0" applyFont="1" applyBorder="1" applyAlignment="1" applyProtection="1">
      <alignment vertical="center"/>
      <protection locked="0" hidden="1"/>
    </xf>
    <xf numFmtId="8" fontId="15" fillId="13" borderId="98" xfId="4" applyNumberFormat="1" applyFont="1" applyFill="1" applyBorder="1" applyAlignment="1" applyProtection="1">
      <alignment horizontal="right" vertical="center" indent="1"/>
      <protection locked="0" hidden="1"/>
    </xf>
    <xf numFmtId="0" fontId="17" fillId="0" borderId="98" xfId="0" applyFont="1" applyBorder="1" applyAlignment="1" applyProtection="1">
      <alignment horizontal="center" vertical="center"/>
      <protection hidden="1"/>
    </xf>
    <xf numFmtId="0" fontId="69" fillId="4" borderId="67" xfId="0" applyFont="1" applyFill="1" applyBorder="1" applyAlignment="1" applyProtection="1">
      <alignment horizontal="left" vertical="center" indent="1"/>
      <protection hidden="1"/>
    </xf>
    <xf numFmtId="0" fontId="36" fillId="4" borderId="13" xfId="0" applyFont="1" applyFill="1" applyBorder="1" applyAlignment="1" applyProtection="1">
      <alignment horizontal="left" vertical="center" indent="1"/>
      <protection hidden="1"/>
    </xf>
    <xf numFmtId="0" fontId="36" fillId="4" borderId="14" xfId="0" applyFont="1" applyFill="1" applyBorder="1" applyAlignment="1" applyProtection="1">
      <alignment horizontal="left" vertical="center" indent="1"/>
      <protection hidden="1"/>
    </xf>
    <xf numFmtId="0" fontId="29" fillId="2" borderId="45" xfId="0" applyFont="1" applyFill="1" applyBorder="1" applyAlignment="1" applyProtection="1">
      <alignment vertical="center"/>
      <protection hidden="1"/>
    </xf>
    <xf numFmtId="0" fontId="17" fillId="15" borderId="53" xfId="0" applyFont="1" applyFill="1" applyBorder="1" applyAlignment="1" applyProtection="1">
      <alignment vertical="center"/>
      <protection hidden="1"/>
    </xf>
    <xf numFmtId="0" fontId="36" fillId="0" borderId="104" xfId="0" applyFont="1" applyFill="1" applyBorder="1" applyAlignment="1" applyProtection="1">
      <alignment vertical="center"/>
      <protection hidden="1"/>
    </xf>
    <xf numFmtId="0" fontId="36" fillId="0" borderId="103" xfId="0" applyFont="1" applyFill="1" applyBorder="1" applyAlignment="1" applyProtection="1">
      <alignment vertical="center"/>
      <protection hidden="1"/>
    </xf>
    <xf numFmtId="0" fontId="36" fillId="0" borderId="79" xfId="0" applyFont="1" applyFill="1" applyBorder="1" applyAlignment="1" applyProtection="1">
      <alignment vertical="center"/>
      <protection hidden="1"/>
    </xf>
    <xf numFmtId="0" fontId="36" fillId="0" borderId="50" xfId="0" quotePrefix="1" applyFont="1" applyFill="1" applyBorder="1" applyAlignment="1" applyProtection="1">
      <alignment horizontal="left" vertical="center"/>
      <protection hidden="1"/>
    </xf>
    <xf numFmtId="0" fontId="17" fillId="0" borderId="0" xfId="0" applyFont="1" applyBorder="1" applyAlignment="1" applyProtection="1">
      <alignment vertical="center"/>
      <protection hidden="1"/>
    </xf>
    <xf numFmtId="0" fontId="36" fillId="14" borderId="98" xfId="0" applyFont="1" applyFill="1" applyBorder="1" applyAlignment="1" applyProtection="1">
      <alignment vertical="center"/>
      <protection hidden="1"/>
    </xf>
    <xf numFmtId="0" fontId="36" fillId="12" borderId="98" xfId="0" applyFont="1" applyFill="1" applyBorder="1" applyAlignment="1" applyProtection="1">
      <alignment vertical="center"/>
      <protection hidden="1"/>
    </xf>
    <xf numFmtId="0" fontId="29" fillId="0" borderId="50" xfId="0" applyFont="1" applyBorder="1" applyAlignment="1" applyProtection="1">
      <alignment vertical="center"/>
      <protection hidden="1"/>
    </xf>
    <xf numFmtId="0" fontId="29" fillId="0" borderId="0" xfId="0" applyFont="1" applyBorder="1" applyAlignment="1" applyProtection="1">
      <alignment vertical="center"/>
      <protection hidden="1"/>
    </xf>
    <xf numFmtId="0" fontId="29" fillId="0" borderId="5" xfId="0" applyFont="1" applyBorder="1" applyAlignment="1" applyProtection="1">
      <alignment vertical="center"/>
      <protection hidden="1"/>
    </xf>
    <xf numFmtId="0" fontId="34" fillId="0" borderId="0" xfId="0" applyFont="1" applyBorder="1" applyAlignment="1" applyProtection="1">
      <alignment vertical="center"/>
      <protection hidden="1"/>
    </xf>
    <xf numFmtId="0" fontId="36" fillId="0" borderId="0" xfId="0" applyFont="1" applyBorder="1" applyAlignment="1" applyProtection="1">
      <alignment horizontal="left" vertical="center" indent="1"/>
      <protection hidden="1"/>
    </xf>
    <xf numFmtId="7" fontId="15" fillId="13" borderId="98" xfId="4" applyNumberFormat="1" applyFont="1" applyFill="1" applyBorder="1" applyAlignment="1" applyProtection="1">
      <alignment vertical="center"/>
      <protection locked="0" hidden="1"/>
    </xf>
    <xf numFmtId="0" fontId="15" fillId="0" borderId="109" xfId="4" applyFont="1" applyBorder="1" applyAlignment="1" applyProtection="1">
      <alignment vertical="center"/>
      <protection locked="0" hidden="1"/>
    </xf>
    <xf numFmtId="0" fontId="15" fillId="0" borderId="108" xfId="4" applyFont="1" applyBorder="1" applyAlignment="1" applyProtection="1">
      <alignment horizontal="left" vertical="center" indent="1"/>
      <protection locked="0" hidden="1"/>
    </xf>
    <xf numFmtId="0" fontId="1" fillId="4" borderId="98" xfId="0" applyFont="1" applyFill="1" applyBorder="1" applyAlignment="1" applyProtection="1">
      <alignment horizontal="center" vertical="center"/>
      <protection hidden="1"/>
    </xf>
    <xf numFmtId="0" fontId="1" fillId="0" borderId="98" xfId="0" applyFont="1" applyBorder="1" applyAlignment="1" applyProtection="1">
      <alignment horizontal="center" vertical="center"/>
      <protection hidden="1"/>
    </xf>
    <xf numFmtId="8" fontId="1" fillId="0" borderId="98" xfId="0" applyNumberFormat="1" applyFont="1" applyBorder="1" applyAlignment="1" applyProtection="1">
      <alignment vertical="center"/>
      <protection hidden="1"/>
    </xf>
    <xf numFmtId="0" fontId="93" fillId="17" borderId="98" xfId="0" applyFont="1" applyFill="1" applyBorder="1" applyAlignment="1" applyProtection="1">
      <alignment horizontal="center" vertical="center"/>
      <protection hidden="1"/>
    </xf>
    <xf numFmtId="8" fontId="4" fillId="13" borderId="105" xfId="0" applyNumberFormat="1" applyFont="1" applyFill="1" applyBorder="1" applyAlignment="1" applyProtection="1">
      <alignment horizontal="right" vertical="center"/>
      <protection locked="0" hidden="1"/>
    </xf>
    <xf numFmtId="14" fontId="42" fillId="0" borderId="98" xfId="4" applyNumberFormat="1" applyFont="1" applyFill="1" applyBorder="1" applyAlignment="1" applyProtection="1">
      <alignment horizontal="center" vertical="center"/>
      <protection hidden="1"/>
    </xf>
    <xf numFmtId="14" fontId="42" fillId="0" borderId="98" xfId="4" applyNumberFormat="1" applyFont="1" applyFill="1" applyBorder="1" applyAlignment="1" applyProtection="1">
      <alignment horizontal="center" vertical="center" wrapText="1"/>
      <protection hidden="1"/>
    </xf>
    <xf numFmtId="8" fontId="15" fillId="13" borderId="98" xfId="4" applyNumberFormat="1" applyFont="1" applyFill="1" applyBorder="1" applyAlignment="1" applyProtection="1">
      <alignment vertical="center"/>
      <protection locked="0"/>
    </xf>
    <xf numFmtId="192" fontId="15" fillId="13" borderId="98" xfId="4" applyNumberFormat="1" applyFont="1" applyFill="1" applyBorder="1" applyAlignment="1" applyProtection="1">
      <alignment vertical="center"/>
      <protection locked="0"/>
    </xf>
    <xf numFmtId="0" fontId="15" fillId="13" borderId="98" xfId="4" applyFont="1" applyFill="1" applyBorder="1" applyAlignment="1" applyProtection="1">
      <alignment vertical="center"/>
      <protection locked="0"/>
    </xf>
    <xf numFmtId="49" fontId="15" fillId="13" borderId="98" xfId="4" applyNumberFormat="1" applyFont="1" applyFill="1" applyBorder="1" applyAlignment="1" applyProtection="1">
      <alignment vertical="center"/>
      <protection locked="0"/>
    </xf>
    <xf numFmtId="0" fontId="42" fillId="4" borderId="58" xfId="4" applyFont="1" applyFill="1" applyBorder="1" applyAlignment="1" applyProtection="1">
      <alignment vertical="center"/>
      <protection hidden="1"/>
    </xf>
    <xf numFmtId="0" fontId="35" fillId="4" borderId="58" xfId="0" applyFont="1" applyFill="1" applyBorder="1" applyAlignment="1" applyProtection="1">
      <alignment horizontal="left" vertical="center" indent="1"/>
      <protection hidden="1"/>
    </xf>
    <xf numFmtId="0" fontId="35" fillId="4" borderId="112" xfId="0" applyFont="1" applyFill="1" applyBorder="1" applyAlignment="1" applyProtection="1">
      <alignment horizontal="right" vertical="center" indent="2"/>
      <protection hidden="1"/>
    </xf>
    <xf numFmtId="0" fontId="36" fillId="4" borderId="58" xfId="0" applyFont="1" applyFill="1" applyBorder="1" applyAlignment="1" applyProtection="1">
      <alignment horizontal="left" vertical="center" indent="1"/>
      <protection hidden="1"/>
    </xf>
    <xf numFmtId="0" fontId="36" fillId="4" borderId="55" xfId="0" applyFont="1" applyFill="1" applyBorder="1" applyAlignment="1" applyProtection="1">
      <alignment horizontal="left" vertical="center" indent="1"/>
      <protection hidden="1"/>
    </xf>
    <xf numFmtId="0" fontId="36" fillId="4" borderId="54" xfId="0" applyFont="1" applyFill="1" applyBorder="1" applyAlignment="1" applyProtection="1">
      <alignment horizontal="left" vertical="center" indent="1"/>
      <protection hidden="1"/>
    </xf>
    <xf numFmtId="0" fontId="69" fillId="4" borderId="58" xfId="0" applyFont="1" applyFill="1" applyBorder="1" applyAlignment="1" applyProtection="1">
      <alignment horizontal="left" vertical="center" indent="1"/>
      <protection hidden="1"/>
    </xf>
    <xf numFmtId="0" fontId="69" fillId="4" borderId="55" xfId="0" applyFont="1" applyFill="1" applyBorder="1" applyAlignment="1" applyProtection="1">
      <alignment horizontal="left" vertical="center" indent="1"/>
      <protection hidden="1"/>
    </xf>
    <xf numFmtId="169" fontId="36" fillId="4" borderId="53" xfId="0" applyNumberFormat="1" applyFont="1" applyFill="1" applyBorder="1" applyAlignment="1" applyProtection="1">
      <alignment horizontal="right" vertical="center" indent="1"/>
      <protection locked="0"/>
    </xf>
    <xf numFmtId="178" fontId="36" fillId="4" borderId="58" xfId="0" applyNumberFormat="1" applyFont="1" applyFill="1" applyBorder="1" applyAlignment="1" applyProtection="1">
      <alignment horizontal="left" vertical="center" indent="1"/>
      <protection hidden="1"/>
    </xf>
    <xf numFmtId="178" fontId="36" fillId="4" borderId="55" xfId="0" applyNumberFormat="1" applyFont="1" applyFill="1" applyBorder="1" applyAlignment="1" applyProtection="1">
      <alignment horizontal="left" vertical="center" indent="1"/>
      <protection hidden="1"/>
    </xf>
    <xf numFmtId="0" fontId="55" fillId="4" borderId="58" xfId="0" applyFont="1" applyFill="1" applyBorder="1" applyAlignment="1" applyProtection="1">
      <alignment horizontal="left" vertical="center" indent="1"/>
      <protection hidden="1"/>
    </xf>
    <xf numFmtId="0" fontId="3" fillId="18" borderId="54" xfId="4" applyFont="1" applyFill="1" applyBorder="1" applyAlignment="1" applyProtection="1">
      <alignment horizontal="left" vertical="center" indent="1"/>
      <protection hidden="1"/>
    </xf>
    <xf numFmtId="0" fontId="3" fillId="18" borderId="58" xfId="4" applyFont="1" applyFill="1" applyBorder="1" applyAlignment="1" applyProtection="1">
      <alignment horizontal="left" vertical="center" indent="1"/>
      <protection hidden="1"/>
    </xf>
    <xf numFmtId="0" fontId="3" fillId="18" borderId="55" xfId="4" applyFont="1" applyFill="1" applyBorder="1" applyAlignment="1" applyProtection="1">
      <alignment horizontal="left" vertical="center" indent="1"/>
      <protection hidden="1"/>
    </xf>
    <xf numFmtId="0" fontId="3" fillId="18" borderId="58" xfId="4" applyFont="1" applyFill="1" applyBorder="1" applyAlignment="1" applyProtection="1">
      <alignment vertical="center"/>
      <protection hidden="1"/>
    </xf>
    <xf numFmtId="0" fontId="3" fillId="18" borderId="55" xfId="4" applyFont="1" applyFill="1" applyBorder="1" applyAlignment="1" applyProtection="1">
      <alignment vertical="center"/>
      <protection hidden="1"/>
    </xf>
    <xf numFmtId="0" fontId="35" fillId="4" borderId="112" xfId="0" applyFont="1" applyFill="1" applyBorder="1" applyAlignment="1" applyProtection="1">
      <alignment horizontal="left" vertical="center" indent="1"/>
      <protection hidden="1"/>
    </xf>
    <xf numFmtId="0" fontId="42" fillId="4" borderId="55" xfId="4" applyFont="1" applyFill="1" applyBorder="1" applyAlignment="1" applyProtection="1">
      <alignment vertical="center"/>
      <protection hidden="1"/>
    </xf>
    <xf numFmtId="183" fontId="88" fillId="15" borderId="98" xfId="4" applyNumberFormat="1" applyFont="1" applyFill="1" applyBorder="1" applyAlignment="1" applyProtection="1">
      <alignment horizontal="right" vertical="center"/>
      <protection hidden="1"/>
    </xf>
    <xf numFmtId="7" fontId="17" fillId="13" borderId="113" xfId="0" applyNumberFormat="1" applyFont="1" applyFill="1" applyBorder="1" applyAlignment="1" applyProtection="1">
      <alignment vertical="center"/>
      <protection locked="0" hidden="1"/>
    </xf>
    <xf numFmtId="168" fontId="17" fillId="13" borderId="17" xfId="0" applyNumberFormat="1" applyFont="1" applyFill="1" applyBorder="1" applyAlignment="1" applyProtection="1">
      <alignment horizontal="right" vertical="center"/>
      <protection locked="0" hidden="1"/>
    </xf>
    <xf numFmtId="0" fontId="1" fillId="0" borderId="109" xfId="0" applyFont="1" applyBorder="1" applyAlignment="1" applyProtection="1">
      <alignment vertical="center"/>
      <protection hidden="1"/>
    </xf>
    <xf numFmtId="0" fontId="1" fillId="0" borderId="113" xfId="0" applyFont="1" applyBorder="1" applyAlignment="1" applyProtection="1">
      <alignment horizontal="left" vertical="center" indent="1"/>
      <protection hidden="1"/>
    </xf>
    <xf numFmtId="0" fontId="1" fillId="0" borderId="108" xfId="0" applyFont="1" applyBorder="1" applyAlignment="1" applyProtection="1">
      <alignment horizontal="left" vertical="center" indent="1"/>
      <protection hidden="1"/>
    </xf>
    <xf numFmtId="169" fontId="1" fillId="16" borderId="113" xfId="0" applyNumberFormat="1" applyFont="1" applyFill="1" applyBorder="1" applyAlignment="1" applyProtection="1">
      <alignment vertical="center"/>
      <protection hidden="1"/>
    </xf>
    <xf numFmtId="169" fontId="2" fillId="16" borderId="113" xfId="0" applyNumberFormat="1" applyFont="1" applyFill="1" applyBorder="1" applyAlignment="1" applyProtection="1">
      <alignment vertical="center"/>
      <protection hidden="1"/>
    </xf>
    <xf numFmtId="0" fontId="2" fillId="16" borderId="113" xfId="0" applyFont="1" applyFill="1" applyBorder="1" applyAlignment="1" applyProtection="1">
      <alignment vertical="center"/>
      <protection hidden="1"/>
    </xf>
    <xf numFmtId="8" fontId="1" fillId="16" borderId="98" xfId="0" applyNumberFormat="1" applyFont="1" applyFill="1" applyBorder="1" applyAlignment="1" applyProtection="1">
      <alignment vertical="center"/>
      <protection locked="0"/>
    </xf>
    <xf numFmtId="0" fontId="15" fillId="13" borderId="113" xfId="4" applyFont="1" applyFill="1" applyBorder="1" applyAlignment="1" applyProtection="1">
      <alignment vertical="center"/>
      <protection locked="0"/>
    </xf>
    <xf numFmtId="0" fontId="15" fillId="0" borderId="15" xfId="4" applyFont="1" applyBorder="1" applyAlignment="1" applyProtection="1">
      <alignment horizontal="center" vertical="center"/>
      <protection locked="0"/>
    </xf>
    <xf numFmtId="0" fontId="15" fillId="0" borderId="0" xfId="4" applyFont="1" applyAlignment="1" applyProtection="1">
      <alignment horizontal="center" vertical="center"/>
      <protection locked="0"/>
    </xf>
    <xf numFmtId="0" fontId="1" fillId="0" borderId="103" xfId="0" applyFont="1" applyBorder="1" applyAlignment="1" applyProtection="1">
      <alignment vertical="center"/>
      <protection hidden="1"/>
    </xf>
    <xf numFmtId="0" fontId="15" fillId="0" borderId="108" xfId="4" applyFont="1" applyBorder="1" applyAlignment="1" applyProtection="1">
      <alignment vertical="center"/>
      <protection locked="0" hidden="1"/>
    </xf>
    <xf numFmtId="0" fontId="1" fillId="0" borderId="113" xfId="0" applyFont="1" applyBorder="1" applyAlignment="1" applyProtection="1">
      <alignment horizontal="center" vertical="center"/>
      <protection hidden="1"/>
    </xf>
    <xf numFmtId="0" fontId="93" fillId="17" borderId="113" xfId="0" applyFont="1" applyFill="1" applyBorder="1" applyAlignment="1" applyProtection="1">
      <alignment horizontal="center" vertical="center"/>
      <protection hidden="1"/>
    </xf>
    <xf numFmtId="0" fontId="96" fillId="0" borderId="0" xfId="0" applyFont="1" applyAlignment="1" applyProtection="1">
      <alignment vertical="center"/>
      <protection hidden="1"/>
    </xf>
    <xf numFmtId="0" fontId="11" fillId="0" borderId="0" xfId="0" applyFont="1" applyAlignment="1" applyProtection="1">
      <alignment horizontal="left" vertical="center" indent="1"/>
      <protection hidden="1"/>
    </xf>
    <xf numFmtId="0" fontId="11" fillId="0" borderId="0" xfId="0" applyFont="1" applyAlignment="1" applyProtection="1">
      <alignment horizontal="center" vertical="center"/>
      <protection hidden="1"/>
    </xf>
    <xf numFmtId="0" fontId="1" fillId="0" borderId="0" xfId="0" applyFont="1" applyAlignment="1" applyProtection="1">
      <alignment horizontal="left" vertical="center" indent="1"/>
      <protection hidden="1"/>
    </xf>
    <xf numFmtId="0" fontId="93" fillId="17" borderId="113" xfId="0" applyFont="1" applyFill="1" applyBorder="1" applyAlignment="1" applyProtection="1">
      <alignment horizontal="right" vertical="center" indent="1"/>
      <protection hidden="1"/>
    </xf>
    <xf numFmtId="0" fontId="1" fillId="19" borderId="113" xfId="0" applyFont="1" applyFill="1" applyBorder="1" applyAlignment="1" applyProtection="1">
      <alignment horizontal="center" vertical="center"/>
      <protection hidden="1"/>
    </xf>
    <xf numFmtId="0" fontId="1" fillId="19" borderId="16" xfId="0" applyFont="1" applyFill="1" applyBorder="1" applyAlignment="1" applyProtection="1">
      <alignment horizontal="center" vertical="center"/>
      <protection hidden="1"/>
    </xf>
    <xf numFmtId="0" fontId="93" fillId="17" borderId="113" xfId="0" applyFont="1" applyFill="1" applyBorder="1" applyAlignment="1" applyProtection="1">
      <alignment horizontal="left" vertical="center" indent="1"/>
      <protection hidden="1"/>
    </xf>
    <xf numFmtId="0" fontId="95" fillId="17" borderId="113" xfId="0" applyFont="1" applyFill="1" applyBorder="1" applyAlignment="1" applyProtection="1">
      <alignment horizontal="left" vertical="center" indent="1"/>
      <protection hidden="1"/>
    </xf>
    <xf numFmtId="0" fontId="95" fillId="17" borderId="113" xfId="0" applyFont="1" applyFill="1" applyBorder="1" applyAlignment="1" applyProtection="1">
      <alignment horizontal="center" vertical="center"/>
      <protection hidden="1"/>
    </xf>
    <xf numFmtId="0" fontId="1" fillId="0" borderId="16" xfId="0" applyFont="1" applyBorder="1" applyAlignment="1" applyProtection="1">
      <alignment horizontal="left" vertical="center" indent="1"/>
      <protection hidden="1"/>
    </xf>
    <xf numFmtId="0" fontId="11" fillId="0" borderId="16" xfId="0" applyFont="1" applyBorder="1" applyAlignment="1" applyProtection="1">
      <alignment horizontal="left" vertical="center" indent="1"/>
      <protection hidden="1"/>
    </xf>
    <xf numFmtId="0" fontId="11" fillId="0" borderId="16" xfId="0" applyFont="1" applyBorder="1" applyAlignment="1" applyProtection="1">
      <alignment horizontal="center" vertical="center"/>
      <protection hidden="1"/>
    </xf>
    <xf numFmtId="0" fontId="11" fillId="0" borderId="113" xfId="0" applyFont="1" applyBorder="1" applyAlignment="1" applyProtection="1">
      <alignment horizontal="left" vertical="center" indent="1"/>
      <protection hidden="1"/>
    </xf>
    <xf numFmtId="0" fontId="11" fillId="0" borderId="113" xfId="0" applyFont="1" applyBorder="1" applyAlignment="1" applyProtection="1">
      <alignment horizontal="center" vertical="center"/>
      <protection hidden="1"/>
    </xf>
    <xf numFmtId="0" fontId="1" fillId="4" borderId="113" xfId="0" applyFont="1" applyFill="1" applyBorder="1" applyAlignment="1" applyProtection="1">
      <alignment horizontal="left" vertical="center" indent="1"/>
      <protection hidden="1"/>
    </xf>
    <xf numFmtId="0" fontId="11" fillId="4" borderId="113" xfId="0" applyFont="1" applyFill="1" applyBorder="1" applyAlignment="1" applyProtection="1">
      <alignment horizontal="left" vertical="center" indent="1"/>
      <protection hidden="1"/>
    </xf>
    <xf numFmtId="0" fontId="11" fillId="4" borderId="113" xfId="0" applyFont="1" applyFill="1" applyBorder="1" applyAlignment="1" applyProtection="1">
      <alignment horizontal="center" vertical="center"/>
      <protection hidden="1"/>
    </xf>
    <xf numFmtId="0" fontId="11" fillId="4" borderId="16" xfId="0" applyFont="1" applyFill="1" applyBorder="1" applyAlignment="1" applyProtection="1">
      <alignment horizontal="center" vertical="center"/>
      <protection hidden="1"/>
    </xf>
    <xf numFmtId="194" fontId="1" fillId="16" borderId="113" xfId="0" applyNumberFormat="1" applyFont="1" applyFill="1" applyBorder="1" applyAlignment="1" applyProtection="1">
      <alignment horizontal="left" vertical="center" wrapText="1" indent="1"/>
      <protection locked="0"/>
    </xf>
    <xf numFmtId="194" fontId="1" fillId="16" borderId="113" xfId="0" applyNumberFormat="1" applyFont="1" applyFill="1" applyBorder="1" applyAlignment="1" applyProtection="1">
      <alignment horizontal="center" vertical="center"/>
      <protection locked="0"/>
    </xf>
    <xf numFmtId="183" fontId="1" fillId="16" borderId="113" xfId="0" applyNumberFormat="1" applyFont="1" applyFill="1" applyBorder="1" applyAlignment="1" applyProtection="1">
      <alignment horizontal="right" vertical="center" indent="1"/>
      <protection locked="0"/>
    </xf>
    <xf numFmtId="49" fontId="1" fillId="16" borderId="113" xfId="0" applyNumberFormat="1" applyFont="1" applyFill="1" applyBorder="1" applyAlignment="1" applyProtection="1">
      <alignment horizontal="right" vertical="center" indent="1"/>
      <protection locked="0"/>
    </xf>
    <xf numFmtId="49" fontId="1" fillId="16" borderId="113" xfId="0" applyNumberFormat="1" applyFont="1" applyFill="1" applyBorder="1" applyAlignment="1" applyProtection="1">
      <alignment horizontal="left" vertical="center" wrapText="1" indent="1"/>
      <protection locked="0"/>
    </xf>
    <xf numFmtId="195" fontId="1" fillId="16" borderId="113" xfId="0" applyNumberFormat="1" applyFont="1" applyFill="1" applyBorder="1" applyAlignment="1" applyProtection="1">
      <alignment horizontal="right" vertical="center" indent="1"/>
      <protection locked="0"/>
    </xf>
    <xf numFmtId="0" fontId="1" fillId="16" borderId="113" xfId="0" applyFont="1" applyFill="1" applyBorder="1" applyAlignment="1" applyProtection="1">
      <alignment horizontal="right" vertical="center" indent="1"/>
      <protection locked="0"/>
    </xf>
    <xf numFmtId="182" fontId="1" fillId="16" borderId="113" xfId="0" applyNumberFormat="1" applyFont="1" applyFill="1" applyBorder="1" applyAlignment="1" applyProtection="1">
      <alignment horizontal="right" vertical="center" indent="1"/>
      <protection locked="0"/>
    </xf>
    <xf numFmtId="8" fontId="1" fillId="16" borderId="113" xfId="0" applyNumberFormat="1" applyFont="1" applyFill="1" applyBorder="1" applyAlignment="1" applyProtection="1">
      <alignment horizontal="right" vertical="center" indent="1"/>
      <protection locked="0"/>
    </xf>
    <xf numFmtId="8" fontId="1" fillId="16" borderId="113" xfId="0" applyNumberFormat="1" applyFont="1" applyFill="1" applyBorder="1" applyAlignment="1" applyProtection="1">
      <alignment horizontal="left" vertical="center" wrapText="1" indent="1"/>
      <protection locked="0"/>
    </xf>
    <xf numFmtId="169" fontId="1" fillId="16" borderId="113" xfId="0" applyNumberFormat="1" applyFont="1" applyFill="1" applyBorder="1" applyAlignment="1" applyProtection="1">
      <alignment horizontal="right" vertical="center" indent="1"/>
      <protection locked="0"/>
    </xf>
    <xf numFmtId="169" fontId="1" fillId="16" borderId="113" xfId="0" applyNumberFormat="1" applyFont="1" applyFill="1" applyBorder="1" applyAlignment="1" applyProtection="1">
      <alignment horizontal="left" vertical="center" wrapText="1" indent="1"/>
      <protection locked="0"/>
    </xf>
    <xf numFmtId="0" fontId="17" fillId="19" borderId="113" xfId="0" applyFont="1" applyFill="1" applyBorder="1" applyAlignment="1" applyProtection="1">
      <alignment vertical="center"/>
      <protection hidden="1"/>
    </xf>
    <xf numFmtId="0" fontId="15" fillId="19" borderId="46" xfId="0" applyFont="1" applyFill="1" applyBorder="1" applyAlignment="1" applyProtection="1">
      <alignment vertical="center"/>
      <protection locked="0" hidden="1"/>
    </xf>
    <xf numFmtId="0" fontId="14" fillId="7" borderId="99" xfId="4" applyFont="1" applyFill="1" applyBorder="1" applyAlignment="1" applyProtection="1">
      <alignment horizontal="left" vertical="center" indent="1"/>
      <protection locked="0" hidden="1"/>
    </xf>
    <xf numFmtId="0" fontId="36" fillId="4" borderId="116" xfId="0" applyFont="1" applyFill="1" applyBorder="1" applyAlignment="1" applyProtection="1">
      <alignment horizontal="left" vertical="center" indent="1"/>
      <protection hidden="1"/>
    </xf>
    <xf numFmtId="0" fontId="36" fillId="4" borderId="117" xfId="0" applyFont="1" applyFill="1" applyBorder="1" applyAlignment="1" applyProtection="1">
      <alignment horizontal="left" vertical="center" indent="1"/>
      <protection hidden="1"/>
    </xf>
    <xf numFmtId="0" fontId="42" fillId="15" borderId="113" xfId="4" applyFont="1" applyFill="1" applyBorder="1" applyAlignment="1" applyProtection="1">
      <alignment vertical="center"/>
      <protection hidden="1"/>
    </xf>
    <xf numFmtId="0" fontId="82" fillId="0" borderId="118" xfId="0" applyFont="1" applyFill="1" applyBorder="1" applyAlignment="1" applyProtection="1">
      <alignment horizontal="left" vertical="center" indent="1"/>
      <protection hidden="1"/>
    </xf>
    <xf numFmtId="0" fontId="82" fillId="0" borderId="117" xfId="0" applyFont="1" applyFill="1" applyBorder="1" applyAlignment="1" applyProtection="1">
      <alignment vertical="center"/>
      <protection hidden="1"/>
    </xf>
    <xf numFmtId="0" fontId="42" fillId="16" borderId="113" xfId="4" applyFont="1" applyFill="1" applyBorder="1" applyAlignment="1" applyProtection="1">
      <alignment horizontal="center" vertical="center"/>
      <protection hidden="1"/>
    </xf>
    <xf numFmtId="0" fontId="82" fillId="16" borderId="113" xfId="0" applyFont="1" applyFill="1" applyBorder="1" applyAlignment="1" applyProtection="1">
      <alignment vertical="center"/>
      <protection hidden="1"/>
    </xf>
    <xf numFmtId="8" fontId="15" fillId="13" borderId="98" xfId="4" applyNumberFormat="1" applyFont="1" applyFill="1" applyBorder="1" applyAlignment="1" applyProtection="1">
      <alignment horizontal="right" vertical="center" indent="1"/>
      <protection locked="0"/>
    </xf>
    <xf numFmtId="8" fontId="15" fillId="19" borderId="98" xfId="4" applyNumberFormat="1" applyFont="1" applyFill="1" applyBorder="1" applyAlignment="1" applyProtection="1">
      <alignment vertical="center"/>
      <protection locked="0"/>
    </xf>
    <xf numFmtId="0" fontId="14" fillId="7" borderId="100" xfId="4" applyFont="1" applyFill="1" applyBorder="1" applyAlignment="1" applyProtection="1">
      <alignment vertical="center"/>
      <protection locked="0" hidden="1"/>
    </xf>
    <xf numFmtId="0" fontId="14" fillId="7" borderId="101" xfId="4" applyFont="1" applyFill="1" applyBorder="1" applyAlignment="1" applyProtection="1">
      <alignment vertical="center"/>
      <protection locked="0" hidden="1"/>
    </xf>
    <xf numFmtId="0" fontId="14" fillId="7" borderId="118" xfId="4" applyFont="1" applyFill="1" applyBorder="1" applyAlignment="1" applyProtection="1">
      <alignment horizontal="left" vertical="center" indent="1"/>
      <protection locked="0" hidden="1"/>
    </xf>
    <xf numFmtId="0" fontId="14" fillId="7" borderId="117" xfId="4" applyFont="1" applyFill="1" applyBorder="1" applyAlignment="1" applyProtection="1">
      <alignment horizontal="left" vertical="center" indent="1"/>
      <protection locked="0" hidden="1"/>
    </xf>
    <xf numFmtId="0" fontId="0" fillId="7" borderId="117" xfId="0" applyFill="1" applyBorder="1" applyAlignment="1">
      <alignment horizontal="left" vertical="center" indent="1"/>
    </xf>
    <xf numFmtId="0" fontId="0" fillId="7" borderId="109" xfId="0" applyFill="1" applyBorder="1" applyAlignment="1">
      <alignment horizontal="left" vertical="center" indent="1"/>
    </xf>
    <xf numFmtId="0" fontId="1" fillId="0" borderId="113" xfId="0" applyFont="1" applyBorder="1" applyAlignment="1" applyProtection="1">
      <alignment vertical="center"/>
      <protection hidden="1"/>
    </xf>
    <xf numFmtId="0" fontId="2" fillId="0" borderId="113" xfId="0" applyFont="1" applyBorder="1" applyAlignment="1" applyProtection="1">
      <alignment horizontal="left" vertical="center" indent="1"/>
      <protection hidden="1"/>
    </xf>
    <xf numFmtId="8" fontId="2" fillId="0" borderId="113" xfId="0" applyNumberFormat="1" applyFont="1" applyBorder="1" applyAlignment="1" applyProtection="1">
      <alignment vertical="center"/>
      <protection hidden="1"/>
    </xf>
    <xf numFmtId="0" fontId="2" fillId="0" borderId="113" xfId="0" applyFont="1" applyBorder="1" applyAlignment="1" applyProtection="1">
      <alignment horizontal="center" vertical="center"/>
      <protection hidden="1"/>
    </xf>
    <xf numFmtId="8" fontId="1" fillId="16" borderId="109" xfId="0" applyNumberFormat="1" applyFont="1" applyFill="1" applyBorder="1" applyAlignment="1" applyProtection="1">
      <alignment vertical="center"/>
      <protection hidden="1"/>
    </xf>
    <xf numFmtId="0" fontId="14" fillId="0" borderId="108" xfId="4" applyFont="1" applyBorder="1" applyAlignment="1" applyProtection="1">
      <alignment horizontal="left" vertical="center" indent="1"/>
      <protection locked="0" hidden="1"/>
    </xf>
    <xf numFmtId="0" fontId="14" fillId="0" borderId="109" xfId="4" applyFont="1" applyBorder="1" applyAlignment="1" applyProtection="1">
      <alignment vertical="center"/>
      <protection locked="0" hidden="1"/>
    </xf>
    <xf numFmtId="8" fontId="14" fillId="13" borderId="98" xfId="4" applyNumberFormat="1" applyFont="1" applyFill="1" applyBorder="1" applyAlignment="1" applyProtection="1">
      <alignment horizontal="right" vertical="center" indent="1"/>
      <protection locked="0"/>
    </xf>
    <xf numFmtId="0" fontId="14" fillId="0" borderId="98" xfId="4" applyFont="1" applyBorder="1" applyAlignment="1" applyProtection="1">
      <alignment horizontal="center" vertical="center"/>
      <protection locked="0" hidden="1"/>
    </xf>
    <xf numFmtId="0" fontId="1" fillId="0" borderId="0" xfId="0" applyFont="1" applyFill="1" applyBorder="1" applyAlignment="1" applyProtection="1">
      <alignment vertical="center"/>
      <protection hidden="1"/>
    </xf>
    <xf numFmtId="0" fontId="14" fillId="7" borderId="98" xfId="4" applyFont="1" applyFill="1" applyBorder="1" applyAlignment="1" applyProtection="1">
      <alignment horizontal="center" vertical="center"/>
      <protection locked="0" hidden="1"/>
    </xf>
    <xf numFmtId="0" fontId="17" fillId="15" borderId="120" xfId="0" applyFont="1" applyFill="1" applyBorder="1" applyAlignment="1" applyProtection="1">
      <alignment horizontal="center" vertical="center"/>
      <protection hidden="1"/>
    </xf>
    <xf numFmtId="0" fontId="1" fillId="0" borderId="120" xfId="0" applyFont="1" applyBorder="1" applyAlignment="1" applyProtection="1">
      <alignment horizontal="left" vertical="center" indent="1"/>
      <protection hidden="1"/>
    </xf>
    <xf numFmtId="0" fontId="17" fillId="19" borderId="120" xfId="0" applyFont="1" applyFill="1" applyBorder="1" applyAlignment="1" applyProtection="1">
      <alignment horizontal="center" vertical="center"/>
      <protection hidden="1"/>
    </xf>
    <xf numFmtId="49" fontId="1" fillId="16" borderId="120" xfId="0" applyNumberFormat="1" applyFont="1" applyFill="1" applyBorder="1" applyAlignment="1" applyProtection="1">
      <alignment horizontal="right" vertical="center" indent="1"/>
      <protection locked="0"/>
    </xf>
    <xf numFmtId="0" fontId="15" fillId="0" borderId="120" xfId="4" applyFont="1" applyBorder="1" applyAlignment="1" applyProtection="1">
      <alignment horizontal="left" vertical="center" indent="1"/>
      <protection locked="0" hidden="1"/>
    </xf>
    <xf numFmtId="0" fontId="15" fillId="13" borderId="120" xfId="4" applyFont="1" applyFill="1" applyBorder="1" applyAlignment="1" applyProtection="1">
      <alignment vertical="center"/>
      <protection locked="0" hidden="1"/>
    </xf>
    <xf numFmtId="0" fontId="15" fillId="0" borderId="123" xfId="4" applyFont="1" applyBorder="1" applyAlignment="1" applyProtection="1">
      <alignment horizontal="left" vertical="center" indent="1"/>
      <protection locked="0" hidden="1"/>
    </xf>
    <xf numFmtId="0" fontId="15" fillId="0" borderId="122" xfId="4" applyFont="1" applyBorder="1" applyAlignment="1" applyProtection="1">
      <alignment vertical="center"/>
      <protection locked="0" hidden="1"/>
    </xf>
    <xf numFmtId="0" fontId="15" fillId="0" borderId="121" xfId="4" applyFont="1" applyBorder="1" applyAlignment="1" applyProtection="1">
      <alignment horizontal="left" vertical="center" indent="1"/>
      <protection locked="0" hidden="1"/>
    </xf>
    <xf numFmtId="0" fontId="15" fillId="13" borderId="120" xfId="4" applyFont="1" applyFill="1" applyBorder="1" applyAlignment="1" applyProtection="1">
      <alignment horizontal="center" vertical="center"/>
      <protection locked="0" hidden="1"/>
    </xf>
    <xf numFmtId="8" fontId="15" fillId="0" borderId="120" xfId="4" applyNumberFormat="1" applyFont="1" applyBorder="1" applyAlignment="1" applyProtection="1">
      <alignment vertical="center"/>
      <protection locked="0" hidden="1"/>
    </xf>
    <xf numFmtId="0" fontId="14" fillId="0" borderId="120" xfId="4" applyFont="1" applyBorder="1" applyAlignment="1" applyProtection="1">
      <alignment horizontal="left" vertical="center" indent="1"/>
      <protection locked="0" hidden="1"/>
    </xf>
    <xf numFmtId="183" fontId="15" fillId="13" borderId="120" xfId="4" applyNumberFormat="1" applyFont="1" applyFill="1" applyBorder="1" applyAlignment="1" applyProtection="1">
      <alignment horizontal="center" vertical="center"/>
      <protection locked="0" hidden="1"/>
    </xf>
    <xf numFmtId="0" fontId="15" fillId="13" borderId="124" xfId="4" applyFont="1" applyFill="1" applyBorder="1" applyAlignment="1" applyProtection="1">
      <alignment vertical="center"/>
      <protection locked="0"/>
    </xf>
    <xf numFmtId="0" fontId="15" fillId="0" borderId="124" xfId="4" applyFont="1" applyBorder="1" applyAlignment="1" applyProtection="1">
      <alignment horizontal="left" vertical="center" wrapText="1" indent="1"/>
      <protection locked="0"/>
    </xf>
    <xf numFmtId="0" fontId="15" fillId="0" borderId="126" xfId="4" applyFont="1" applyBorder="1" applyAlignment="1" applyProtection="1">
      <alignment horizontal="left" vertical="center" indent="1"/>
      <protection locked="0" hidden="1"/>
    </xf>
    <xf numFmtId="0" fontId="15" fillId="0" borderId="125" xfId="4" applyFont="1" applyBorder="1" applyAlignment="1" applyProtection="1">
      <alignment vertical="center"/>
      <protection locked="0" hidden="1"/>
    </xf>
    <xf numFmtId="0" fontId="15" fillId="13" borderId="124" xfId="4" applyFont="1" applyFill="1" applyBorder="1" applyAlignment="1" applyProtection="1">
      <alignment vertical="center"/>
      <protection locked="0" hidden="1"/>
    </xf>
    <xf numFmtId="0" fontId="15" fillId="13" borderId="124" xfId="0" applyFont="1" applyFill="1" applyBorder="1" applyAlignment="1" applyProtection="1">
      <alignment horizontal="center" vertical="center"/>
      <protection locked="0" hidden="1"/>
    </xf>
    <xf numFmtId="8" fontId="93" fillId="17" borderId="98" xfId="0" applyNumberFormat="1" applyFont="1" applyFill="1" applyBorder="1" applyAlignment="1" applyProtection="1">
      <alignment horizontal="right" vertical="center"/>
      <protection hidden="1"/>
    </xf>
    <xf numFmtId="0" fontId="14" fillId="7" borderId="54" xfId="4" applyFont="1" applyFill="1" applyBorder="1" applyAlignment="1" applyProtection="1">
      <alignment horizontal="left" vertical="center" indent="1"/>
      <protection locked="0" hidden="1"/>
    </xf>
    <xf numFmtId="174" fontId="15" fillId="13" borderId="98" xfId="4" applyNumberFormat="1" applyFont="1" applyFill="1" applyBorder="1" applyAlignment="1" applyProtection="1">
      <alignment horizontal="right" vertical="center" indent="1"/>
      <protection locked="0" hidden="1"/>
    </xf>
    <xf numFmtId="0" fontId="15" fillId="0" borderId="124" xfId="4" applyFont="1" applyBorder="1" applyAlignment="1" applyProtection="1">
      <alignment horizontal="left" vertical="center" indent="1"/>
      <protection locked="0" hidden="1"/>
    </xf>
    <xf numFmtId="0" fontId="15" fillId="13" borderId="124" xfId="4" applyFont="1" applyFill="1" applyBorder="1" applyAlignment="1" applyProtection="1">
      <alignment horizontal="center" vertical="center"/>
      <protection locked="0" hidden="1"/>
    </xf>
    <xf numFmtId="8" fontId="15" fillId="0" borderId="124" xfId="4" applyNumberFormat="1" applyFont="1" applyBorder="1" applyAlignment="1" applyProtection="1">
      <alignment vertical="center"/>
      <protection locked="0" hidden="1"/>
    </xf>
    <xf numFmtId="193" fontId="14" fillId="13" borderId="98" xfId="4" applyNumberFormat="1" applyFont="1" applyFill="1" applyBorder="1" applyAlignment="1" applyProtection="1">
      <alignment horizontal="right" vertical="center"/>
      <protection locked="0" hidden="1"/>
    </xf>
    <xf numFmtId="8" fontId="15" fillId="0" borderId="124" xfId="4" applyNumberFormat="1" applyFont="1" applyBorder="1" applyAlignment="1" applyProtection="1">
      <alignment horizontal="right" vertical="center"/>
      <protection locked="0" hidden="1"/>
    </xf>
    <xf numFmtId="0" fontId="14" fillId="0" borderId="124" xfId="4" applyFont="1" applyBorder="1" applyAlignment="1" applyProtection="1">
      <alignment horizontal="left" vertical="center" indent="1"/>
      <protection locked="0" hidden="1"/>
    </xf>
    <xf numFmtId="0" fontId="17" fillId="15" borderId="124" xfId="0" applyFont="1" applyFill="1" applyBorder="1" applyAlignment="1" applyProtection="1">
      <alignment horizontal="center" vertical="center"/>
      <protection hidden="1"/>
    </xf>
    <xf numFmtId="0" fontId="15" fillId="0" borderId="128" xfId="4" applyFont="1" applyBorder="1" applyAlignment="1" applyProtection="1">
      <alignment vertical="center"/>
      <protection locked="0" hidden="1"/>
    </xf>
    <xf numFmtId="0" fontId="97" fillId="0" borderId="5" xfId="0" applyFont="1" applyFill="1" applyBorder="1" applyAlignment="1" applyProtection="1">
      <alignment horizontal="center" vertical="center"/>
      <protection hidden="1"/>
    </xf>
    <xf numFmtId="0" fontId="17" fillId="0" borderId="51" xfId="0" applyFont="1" applyBorder="1" applyAlignment="1" applyProtection="1">
      <alignment horizontal="left" vertical="center" indent="1"/>
      <protection locked="0" hidden="1"/>
    </xf>
    <xf numFmtId="0" fontId="26" fillId="4" borderId="101" xfId="0" applyFont="1" applyFill="1" applyBorder="1" applyAlignment="1" applyProtection="1">
      <alignment horizontal="left" vertical="center" indent="1"/>
      <protection locked="0" hidden="1"/>
    </xf>
    <xf numFmtId="0" fontId="1" fillId="0" borderId="61" xfId="0" applyFont="1" applyFill="1" applyBorder="1" applyAlignment="1" applyProtection="1">
      <alignment horizontal="right" vertical="top"/>
      <protection hidden="1"/>
    </xf>
    <xf numFmtId="0" fontId="1" fillId="0" borderId="0" xfId="0" applyFont="1" applyFill="1" applyBorder="1" applyAlignment="1" applyProtection="1">
      <alignment horizontal="right" vertical="top"/>
      <protection hidden="1"/>
    </xf>
    <xf numFmtId="186" fontId="11" fillId="0" borderId="0" xfId="0" applyNumberFormat="1" applyFont="1" applyFill="1" applyBorder="1" applyAlignment="1" applyProtection="1">
      <alignment horizontal="left" vertical="center"/>
      <protection hidden="1"/>
    </xf>
    <xf numFmtId="186" fontId="12" fillId="0" borderId="0" xfId="0" applyNumberFormat="1" applyFont="1" applyFill="1" applyBorder="1" applyAlignment="1" applyProtection="1">
      <alignment horizontal="left" vertical="center"/>
      <protection hidden="1"/>
    </xf>
    <xf numFmtId="176" fontId="13" fillId="0" borderId="0" xfId="0" applyNumberFormat="1" applyFont="1" applyFill="1" applyBorder="1" applyAlignment="1" applyProtection="1">
      <alignment horizontal="right" vertical="center"/>
      <protection hidden="1"/>
    </xf>
    <xf numFmtId="0" fontId="1" fillId="0" borderId="0" xfId="0" applyFont="1" applyAlignment="1" applyProtection="1">
      <alignment horizontal="right" vertical="center"/>
      <protection hidden="1"/>
    </xf>
    <xf numFmtId="7" fontId="1" fillId="0" borderId="0" xfId="0" applyNumberFormat="1" applyFont="1" applyAlignment="1" applyProtection="1">
      <alignment vertical="center"/>
      <protection hidden="1"/>
    </xf>
    <xf numFmtId="0" fontId="15" fillId="0" borderId="130" xfId="4" applyFont="1" applyBorder="1" applyAlignment="1" applyProtection="1">
      <alignment horizontal="right" vertical="center"/>
      <protection locked="0" hidden="1"/>
    </xf>
    <xf numFmtId="0" fontId="15" fillId="0" borderId="131" xfId="4" applyFont="1" applyBorder="1" applyAlignment="1" applyProtection="1">
      <alignment vertical="center"/>
      <protection locked="0" hidden="1"/>
    </xf>
    <xf numFmtId="8" fontId="15" fillId="13" borderId="0" xfId="4" applyNumberFormat="1" applyFont="1" applyFill="1" applyAlignment="1" applyProtection="1">
      <alignment horizontal="right" vertical="center" indent="1"/>
      <protection locked="0" hidden="1"/>
    </xf>
    <xf numFmtId="0" fontId="26" fillId="4" borderId="100" xfId="0" applyFont="1" applyFill="1" applyBorder="1" applyAlignment="1" applyProtection="1">
      <alignment vertical="center"/>
      <protection locked="0" hidden="1"/>
    </xf>
    <xf numFmtId="0" fontId="26" fillId="4" borderId="101" xfId="0" applyFont="1" applyFill="1" applyBorder="1" applyAlignment="1" applyProtection="1">
      <alignment vertical="center"/>
      <protection locked="0" hidden="1"/>
    </xf>
    <xf numFmtId="0" fontId="15" fillId="0" borderId="130" xfId="4" applyFont="1" applyBorder="1" applyAlignment="1" applyProtection="1">
      <alignment horizontal="left" vertical="center" indent="1"/>
      <protection locked="0" hidden="1"/>
    </xf>
    <xf numFmtId="8" fontId="15" fillId="13" borderId="129" xfId="4" applyNumberFormat="1" applyFont="1" applyFill="1" applyBorder="1" applyAlignment="1" applyProtection="1">
      <alignment horizontal="right" vertical="center" indent="1"/>
      <protection locked="0" hidden="1"/>
    </xf>
    <xf numFmtId="169" fontId="17" fillId="13" borderId="99" xfId="0" applyNumberFormat="1" applyFont="1" applyFill="1" applyBorder="1" applyAlignment="1" applyProtection="1">
      <alignment horizontal="right" vertical="center" indent="1"/>
      <protection locked="0" hidden="1"/>
    </xf>
    <xf numFmtId="0" fontId="95" fillId="17" borderId="129" xfId="0" applyFont="1" applyFill="1" applyBorder="1" applyAlignment="1" applyProtection="1">
      <alignment horizontal="center" vertical="center"/>
      <protection hidden="1"/>
    </xf>
    <xf numFmtId="0" fontId="93" fillId="17" borderId="129" xfId="0" applyFont="1" applyFill="1" applyBorder="1" applyAlignment="1" applyProtection="1">
      <alignment horizontal="center" vertical="center"/>
      <protection hidden="1"/>
    </xf>
    <xf numFmtId="0" fontId="1" fillId="0" borderId="129" xfId="0" applyFont="1" applyBorder="1" applyAlignment="1" applyProtection="1">
      <alignment horizontal="center" vertical="center"/>
      <protection hidden="1"/>
    </xf>
    <xf numFmtId="0" fontId="1" fillId="19" borderId="129" xfId="0" applyFont="1" applyFill="1" applyBorder="1" applyAlignment="1" applyProtection="1">
      <alignment horizontal="center" vertical="center"/>
      <protection hidden="1"/>
    </xf>
    <xf numFmtId="194" fontId="1" fillId="16" borderId="113" xfId="0" applyNumberFormat="1" applyFont="1" applyFill="1" applyBorder="1" applyAlignment="1" applyProtection="1">
      <alignment horizontal="center" vertical="center" wrapText="1"/>
      <protection locked="0"/>
    </xf>
    <xf numFmtId="183" fontId="1" fillId="0" borderId="16" xfId="0" applyNumberFormat="1" applyFont="1" applyBorder="1" applyAlignment="1" applyProtection="1">
      <alignment horizontal="right" vertical="center" indent="1"/>
      <protection hidden="1"/>
    </xf>
    <xf numFmtId="0" fontId="1" fillId="0" borderId="16" xfId="0" applyFont="1" applyBorder="1" applyAlignment="1" applyProtection="1">
      <alignment horizontal="right" vertical="center" indent="1"/>
      <protection hidden="1"/>
    </xf>
    <xf numFmtId="0" fontId="1" fillId="4" borderId="16" xfId="0" applyFont="1" applyFill="1" applyBorder="1" applyAlignment="1" applyProtection="1">
      <alignment horizontal="left" vertical="center" wrapText="1" indent="1"/>
      <protection hidden="1"/>
    </xf>
    <xf numFmtId="195" fontId="1" fillId="0" borderId="16" xfId="0" applyNumberFormat="1" applyFont="1" applyBorder="1" applyAlignment="1" applyProtection="1">
      <alignment horizontal="right" vertical="center" indent="1"/>
      <protection hidden="1"/>
    </xf>
    <xf numFmtId="182" fontId="1" fillId="0" borderId="16" xfId="0" applyNumberFormat="1" applyFont="1" applyBorder="1" applyAlignment="1" applyProtection="1">
      <alignment horizontal="right" vertical="center" indent="1"/>
      <protection hidden="1"/>
    </xf>
    <xf numFmtId="8" fontId="1" fillId="0" borderId="16" xfId="0" applyNumberFormat="1" applyFont="1" applyBorder="1" applyAlignment="1" applyProtection="1">
      <alignment horizontal="right" vertical="center" indent="1"/>
      <protection hidden="1"/>
    </xf>
    <xf numFmtId="169" fontId="1" fillId="0" borderId="16" xfId="0" applyNumberFormat="1" applyFont="1" applyBorder="1" applyAlignment="1" applyProtection="1">
      <alignment horizontal="right" vertical="center" indent="1"/>
      <protection hidden="1"/>
    </xf>
    <xf numFmtId="0" fontId="35" fillId="4" borderId="132" xfId="0" applyFont="1" applyFill="1" applyBorder="1" applyAlignment="1" applyProtection="1">
      <alignment horizontal="left" vertical="center" indent="1"/>
      <protection hidden="1"/>
    </xf>
    <xf numFmtId="0" fontId="81" fillId="0" borderId="134" xfId="0" applyFont="1" applyFill="1" applyBorder="1" applyAlignment="1" applyProtection="1">
      <alignment horizontal="left" vertical="center" indent="1"/>
      <protection hidden="1"/>
    </xf>
    <xf numFmtId="0" fontId="82" fillId="0" borderId="133" xfId="0" applyFont="1" applyFill="1" applyBorder="1" applyAlignment="1" applyProtection="1">
      <alignment horizontal="left" vertical="center" indent="1"/>
      <protection hidden="1"/>
    </xf>
    <xf numFmtId="0" fontId="1" fillId="7" borderId="135" xfId="0" applyFont="1" applyFill="1" applyBorder="1" applyAlignment="1" applyProtection="1">
      <alignment horizontal="left" vertical="center" indent="1"/>
      <protection hidden="1"/>
    </xf>
    <xf numFmtId="0" fontId="11" fillId="7" borderId="135" xfId="0" applyFont="1" applyFill="1" applyBorder="1" applyAlignment="1" applyProtection="1">
      <alignment horizontal="left" vertical="center" indent="1"/>
      <protection hidden="1"/>
    </xf>
    <xf numFmtId="0" fontId="11" fillId="7" borderId="135" xfId="0" applyFont="1" applyFill="1" applyBorder="1" applyAlignment="1" applyProtection="1">
      <alignment horizontal="center" vertical="center"/>
      <protection hidden="1"/>
    </xf>
    <xf numFmtId="0" fontId="1" fillId="7" borderId="135" xfId="0" applyFont="1" applyFill="1" applyBorder="1" applyAlignment="1" applyProtection="1">
      <alignment horizontal="right" vertical="center" indent="1"/>
      <protection hidden="1"/>
    </xf>
    <xf numFmtId="8" fontId="1" fillId="7" borderId="135" xfId="0" applyNumberFormat="1" applyFont="1" applyFill="1" applyBorder="1" applyAlignment="1" applyProtection="1">
      <alignment horizontal="right" vertical="center" indent="1"/>
      <protection hidden="1"/>
    </xf>
    <xf numFmtId="169" fontId="1" fillId="7" borderId="135" xfId="0" applyNumberFormat="1" applyFont="1" applyFill="1" applyBorder="1" applyAlignment="1" applyProtection="1">
      <alignment horizontal="right" vertical="center" indent="1"/>
      <protection hidden="1"/>
    </xf>
    <xf numFmtId="191" fontId="1" fillId="7" borderId="135" xfId="0" applyNumberFormat="1" applyFont="1" applyFill="1" applyBorder="1" applyAlignment="1" applyProtection="1">
      <alignment horizontal="right" vertical="center" indent="1"/>
      <protection hidden="1"/>
    </xf>
    <xf numFmtId="183" fontId="1" fillId="7" borderId="135" xfId="0" applyNumberFormat="1" applyFont="1" applyFill="1" applyBorder="1" applyAlignment="1" applyProtection="1">
      <alignment horizontal="right" vertical="center" indent="1"/>
      <protection hidden="1"/>
    </xf>
    <xf numFmtId="0" fontId="93" fillId="17" borderId="135" xfId="0" applyFont="1" applyFill="1" applyBorder="1" applyAlignment="1" applyProtection="1">
      <alignment horizontal="right" vertical="center" indent="1"/>
      <protection hidden="1"/>
    </xf>
    <xf numFmtId="0" fontId="1" fillId="19" borderId="135" xfId="0" applyFont="1" applyFill="1" applyBorder="1" applyAlignment="1" applyProtection="1">
      <alignment horizontal="center" vertical="center"/>
      <protection hidden="1"/>
    </xf>
    <xf numFmtId="0" fontId="1" fillId="0" borderId="135" xfId="0" applyFont="1" applyBorder="1" applyAlignment="1" applyProtection="1">
      <alignment horizontal="center" vertical="center"/>
      <protection hidden="1"/>
    </xf>
    <xf numFmtId="0" fontId="15" fillId="0" borderId="0" xfId="4" applyFont="1" applyAlignment="1" applyProtection="1">
      <alignment horizontal="center" vertical="center"/>
      <protection locked="0" hidden="1"/>
    </xf>
    <xf numFmtId="0" fontId="15" fillId="0" borderId="137" xfId="4" applyFont="1" applyBorder="1" applyAlignment="1" applyProtection="1">
      <alignment vertical="center"/>
      <protection locked="0" hidden="1"/>
    </xf>
    <xf numFmtId="0" fontId="52" fillId="7" borderId="113" xfId="4" applyFont="1" applyFill="1" applyBorder="1" applyAlignment="1" applyProtection="1">
      <alignment horizontal="left" vertical="center" indent="1"/>
      <protection locked="0" hidden="1"/>
    </xf>
    <xf numFmtId="0" fontId="52" fillId="7" borderId="113" xfId="4" applyFont="1" applyFill="1" applyBorder="1" applyAlignment="1" applyProtection="1">
      <alignment horizontal="center" vertical="center"/>
      <protection locked="0" hidden="1"/>
    </xf>
    <xf numFmtId="0" fontId="42" fillId="0" borderId="113" xfId="4" applyFont="1" applyBorder="1" applyAlignment="1" applyProtection="1">
      <alignment horizontal="left" vertical="center" indent="1"/>
      <protection locked="0"/>
    </xf>
    <xf numFmtId="0" fontId="42" fillId="0" borderId="137" xfId="4" applyFont="1" applyBorder="1" applyAlignment="1" applyProtection="1">
      <alignment vertical="center"/>
      <protection locked="0" hidden="1"/>
    </xf>
    <xf numFmtId="0" fontId="42" fillId="19" borderId="137" xfId="4" applyFont="1" applyFill="1" applyBorder="1" applyAlignment="1" applyProtection="1">
      <alignment vertical="center"/>
      <protection locked="0" hidden="1"/>
    </xf>
    <xf numFmtId="0" fontId="52" fillId="7" borderId="98" xfId="4" applyFont="1" applyFill="1" applyBorder="1" applyAlignment="1" applyProtection="1">
      <alignment horizontal="left" vertical="center" indent="1"/>
      <protection locked="0" hidden="1"/>
    </xf>
    <xf numFmtId="0" fontId="87" fillId="13" borderId="34" xfId="4" applyFont="1" applyFill="1" applyBorder="1" applyAlignment="1" applyProtection="1">
      <alignment vertical="center"/>
      <protection locked="0" hidden="1"/>
    </xf>
    <xf numFmtId="0" fontId="14" fillId="7" borderId="15" xfId="4" applyFont="1" applyFill="1" applyBorder="1" applyAlignment="1" applyProtection="1">
      <alignment horizontal="left" vertical="center" indent="1"/>
      <protection locked="0" hidden="1"/>
    </xf>
    <xf numFmtId="0" fontId="14" fillId="7" borderId="54" xfId="4" applyFont="1" applyFill="1" applyBorder="1" applyAlignment="1" applyProtection="1">
      <alignment horizontal="left" vertical="center" indent="1"/>
      <protection locked="0" hidden="1"/>
    </xf>
    <xf numFmtId="0" fontId="14" fillId="7" borderId="53" xfId="4" applyFont="1" applyFill="1" applyBorder="1" applyAlignment="1" applyProtection="1">
      <alignment horizontal="center" vertical="center"/>
      <protection locked="0" hidden="1"/>
    </xf>
    <xf numFmtId="0" fontId="15" fillId="0" borderId="137" xfId="4" applyFont="1" applyBorder="1" applyAlignment="1" applyProtection="1">
      <alignment horizontal="left" vertical="center" indent="1"/>
      <protection locked="0" hidden="1"/>
    </xf>
    <xf numFmtId="0" fontId="14" fillId="7" borderId="137" xfId="4" applyFont="1" applyFill="1" applyBorder="1" applyAlignment="1" applyProtection="1">
      <alignment horizontal="left" vertical="center" indent="1"/>
      <protection locked="0" hidden="1"/>
    </xf>
    <xf numFmtId="0" fontId="14" fillId="7" borderId="133" xfId="4" applyFont="1" applyFill="1" applyBorder="1" applyAlignment="1" applyProtection="1">
      <alignment horizontal="left" vertical="center" indent="1"/>
      <protection locked="0" hidden="1"/>
    </xf>
    <xf numFmtId="0" fontId="14" fillId="7" borderId="137" xfId="4" applyFont="1" applyFill="1" applyBorder="1" applyAlignment="1" applyProtection="1">
      <alignment horizontal="center" vertical="center"/>
      <protection locked="0" hidden="1"/>
    </xf>
    <xf numFmtId="0" fontId="14" fillId="7" borderId="113" xfId="4" applyFont="1" applyFill="1" applyBorder="1" applyAlignment="1" applyProtection="1">
      <alignment horizontal="center" vertical="center"/>
      <protection locked="0" hidden="1"/>
    </xf>
    <xf numFmtId="0" fontId="15" fillId="19" borderId="34" xfId="4" applyFont="1" applyFill="1" applyBorder="1" applyAlignment="1" applyProtection="1">
      <alignment vertical="center"/>
      <protection locked="0" hidden="1"/>
    </xf>
    <xf numFmtId="0" fontId="15" fillId="20" borderId="137" xfId="4" applyFont="1" applyFill="1" applyBorder="1" applyAlignment="1" applyProtection="1">
      <alignment horizontal="left" vertical="center" indent="1"/>
      <protection locked="0" hidden="1"/>
    </xf>
    <xf numFmtId="0" fontId="15" fillId="20" borderId="137" xfId="4" applyFont="1" applyFill="1" applyBorder="1" applyAlignment="1" applyProtection="1">
      <alignment horizontal="center" vertical="center"/>
      <protection locked="0" hidden="1"/>
    </xf>
    <xf numFmtId="0" fontId="15" fillId="20" borderId="133" xfId="4" applyFont="1" applyFill="1" applyBorder="1" applyAlignment="1" applyProtection="1">
      <alignment horizontal="left" vertical="center" indent="1"/>
      <protection locked="0" hidden="1"/>
    </xf>
    <xf numFmtId="0" fontId="15" fillId="18" borderId="133" xfId="4" applyFont="1" applyFill="1" applyBorder="1" applyAlignment="1" applyProtection="1">
      <alignment horizontal="left" vertical="center" indent="1"/>
      <protection locked="0" hidden="1"/>
    </xf>
    <xf numFmtId="0" fontId="15" fillId="18" borderId="137" xfId="4" applyFont="1" applyFill="1" applyBorder="1" applyAlignment="1" applyProtection="1">
      <alignment horizontal="center" vertical="center"/>
      <protection locked="0" hidden="1"/>
    </xf>
    <xf numFmtId="0" fontId="15" fillId="18" borderId="137" xfId="4" applyFont="1" applyFill="1" applyBorder="1" applyAlignment="1" applyProtection="1">
      <alignment horizontal="left" vertical="center" indent="1"/>
      <protection locked="0" hidden="1"/>
    </xf>
    <xf numFmtId="0" fontId="4" fillId="13" borderId="137" xfId="4" applyFont="1" applyFill="1" applyBorder="1" applyAlignment="1" applyProtection="1">
      <alignment vertical="center"/>
      <protection locked="0" hidden="1"/>
    </xf>
    <xf numFmtId="0" fontId="15" fillId="19" borderId="137" xfId="4" applyFont="1" applyFill="1" applyBorder="1" applyAlignment="1" applyProtection="1">
      <alignment vertical="center"/>
      <protection locked="0" hidden="1"/>
    </xf>
    <xf numFmtId="0" fontId="15" fillId="13" borderId="137" xfId="4" applyFont="1" applyFill="1" applyBorder="1" applyAlignment="1" applyProtection="1">
      <alignment horizontal="center" vertical="center"/>
      <protection locked="0" hidden="1"/>
    </xf>
    <xf numFmtId="0" fontId="14" fillId="6" borderId="9" xfId="4" applyFont="1" applyFill="1" applyBorder="1" applyAlignment="1" applyProtection="1">
      <alignment horizontal="left" vertical="center" indent="1"/>
      <protection locked="0" hidden="1"/>
    </xf>
    <xf numFmtId="0" fontId="18" fillId="7" borderId="46" xfId="0" applyFont="1" applyFill="1" applyBorder="1" applyAlignment="1" applyProtection="1">
      <alignment horizontal="left" vertical="center" indent="1"/>
      <protection locked="0" hidden="1"/>
    </xf>
    <xf numFmtId="0" fontId="14" fillId="7" borderId="53" xfId="4" applyFont="1" applyFill="1" applyBorder="1" applyAlignment="1" applyProtection="1">
      <alignment horizontal="left" vertical="center" indent="1"/>
      <protection locked="0" hidden="1"/>
    </xf>
    <xf numFmtId="0" fontId="14" fillId="7" borderId="98" xfId="4" applyFont="1" applyFill="1" applyBorder="1" applyAlignment="1" applyProtection="1">
      <alignment horizontal="left" vertical="center" indent="1"/>
      <protection locked="0" hidden="1"/>
    </xf>
    <xf numFmtId="14" fontId="52" fillId="0" borderId="98" xfId="4" applyNumberFormat="1" applyFont="1" applyFill="1" applyBorder="1" applyAlignment="1" applyProtection="1">
      <alignment horizontal="center" vertical="center"/>
      <protection hidden="1"/>
    </xf>
    <xf numFmtId="0" fontId="1" fillId="0" borderId="113" xfId="0" applyFont="1" applyBorder="1" applyAlignment="1" applyProtection="1">
      <alignment horizontal="left" vertical="center" indent="1"/>
      <protection hidden="1"/>
    </xf>
    <xf numFmtId="0" fontId="93" fillId="17" borderId="98" xfId="0" applyFont="1" applyFill="1" applyBorder="1" applyAlignment="1" applyProtection="1">
      <alignment horizontal="center" vertical="center"/>
      <protection hidden="1"/>
    </xf>
    <xf numFmtId="182" fontId="1" fillId="16" borderId="137" xfId="0" applyNumberFormat="1" applyFont="1" applyFill="1" applyBorder="1" applyAlignment="1" applyProtection="1">
      <alignment horizontal="right" vertical="center" indent="1"/>
      <protection locked="0"/>
    </xf>
    <xf numFmtId="185" fontId="1" fillId="0" borderId="0" xfId="0" applyNumberFormat="1" applyFont="1" applyFill="1" applyBorder="1" applyAlignment="1" applyProtection="1">
      <alignment vertical="center"/>
      <protection locked="0"/>
    </xf>
    <xf numFmtId="0" fontId="1" fillId="0" borderId="138" xfId="0" applyFont="1" applyBorder="1" applyAlignment="1" applyProtection="1">
      <alignment horizontal="left" vertical="center" indent="1"/>
      <protection hidden="1"/>
    </xf>
    <xf numFmtId="8" fontId="1" fillId="16" borderId="138" xfId="0" applyNumberFormat="1" applyFont="1" applyFill="1" applyBorder="1" applyAlignment="1" applyProtection="1">
      <alignment horizontal="right" vertical="center" indent="1"/>
      <protection locked="0"/>
    </xf>
    <xf numFmtId="0" fontId="1" fillId="21" borderId="129" xfId="0" applyFont="1" applyFill="1" applyBorder="1" applyAlignment="1" applyProtection="1">
      <alignment horizontal="left" vertical="center" indent="1"/>
      <protection hidden="1"/>
    </xf>
    <xf numFmtId="0" fontId="11" fillId="21" borderId="129" xfId="0" applyFont="1" applyFill="1" applyBorder="1" applyAlignment="1" applyProtection="1">
      <alignment horizontal="left" vertical="center" indent="1"/>
      <protection hidden="1"/>
    </xf>
    <xf numFmtId="0" fontId="11" fillId="21" borderId="113" xfId="0" applyFont="1" applyFill="1" applyBorder="1" applyAlignment="1" applyProtection="1">
      <alignment horizontal="center" vertical="center"/>
      <protection hidden="1"/>
    </xf>
    <xf numFmtId="0" fontId="11" fillId="21" borderId="113" xfId="0" applyFont="1" applyFill="1" applyBorder="1" applyAlignment="1" applyProtection="1">
      <alignment horizontal="left" vertical="center" indent="1"/>
      <protection hidden="1"/>
    </xf>
    <xf numFmtId="0" fontId="11" fillId="21" borderId="129" xfId="0" applyFont="1" applyFill="1" applyBorder="1" applyAlignment="1" applyProtection="1">
      <alignment horizontal="center" vertical="center"/>
      <protection hidden="1"/>
    </xf>
    <xf numFmtId="8" fontId="1" fillId="21" borderId="129" xfId="0" applyNumberFormat="1" applyFont="1" applyFill="1" applyBorder="1" applyAlignment="1" applyProtection="1">
      <alignment horizontal="right" vertical="center" indent="1"/>
      <protection hidden="1"/>
    </xf>
    <xf numFmtId="8" fontId="15" fillId="0" borderId="0" xfId="4" applyNumberFormat="1" applyFont="1" applyAlignment="1" applyProtection="1">
      <alignment vertical="center"/>
      <protection locked="0" hidden="1"/>
    </xf>
    <xf numFmtId="0" fontId="1" fillId="16" borderId="16" xfId="0" applyFont="1" applyFill="1" applyBorder="1" applyAlignment="1" applyProtection="1">
      <alignment horizontal="center" vertical="center"/>
      <protection locked="0"/>
    </xf>
    <xf numFmtId="7" fontId="1" fillId="16" borderId="129" xfId="0" applyNumberFormat="1" applyFont="1" applyFill="1" applyBorder="1" applyAlignment="1" applyProtection="1">
      <alignment horizontal="right" vertical="center" indent="1"/>
      <protection locked="0"/>
    </xf>
    <xf numFmtId="0" fontId="1" fillId="16" borderId="135" xfId="0" applyFont="1" applyFill="1" applyBorder="1" applyAlignment="1" applyProtection="1">
      <alignment horizontal="right" vertical="center" indent="1"/>
      <protection locked="0"/>
    </xf>
    <xf numFmtId="8" fontId="1" fillId="16" borderId="135" xfId="0" applyNumberFormat="1" applyFont="1" applyFill="1" applyBorder="1" applyAlignment="1" applyProtection="1">
      <alignment horizontal="right" vertical="center" indent="1"/>
      <protection locked="0"/>
    </xf>
    <xf numFmtId="169" fontId="1" fillId="16" borderId="135" xfId="0" applyNumberFormat="1" applyFont="1" applyFill="1" applyBorder="1" applyAlignment="1" applyProtection="1">
      <alignment horizontal="right" vertical="center" indent="1"/>
      <protection locked="0"/>
    </xf>
    <xf numFmtId="183" fontId="1" fillId="16" borderId="135" xfId="0" applyNumberFormat="1" applyFont="1" applyFill="1" applyBorder="1" applyAlignment="1" applyProtection="1">
      <alignment horizontal="right" vertical="center" indent="1"/>
      <protection locked="0"/>
    </xf>
    <xf numFmtId="191" fontId="1" fillId="16" borderId="135" xfId="0" applyNumberFormat="1" applyFont="1" applyFill="1" applyBorder="1" applyAlignment="1" applyProtection="1">
      <alignment horizontal="right" vertical="center" indent="1"/>
      <protection locked="0"/>
    </xf>
    <xf numFmtId="168" fontId="1" fillId="4" borderId="110" xfId="0" applyNumberFormat="1" applyFont="1" applyFill="1" applyBorder="1" applyAlignment="1" applyProtection="1">
      <alignment horizontal="right" vertical="center" indent="1"/>
      <protection hidden="1"/>
    </xf>
    <xf numFmtId="184" fontId="36" fillId="4" borderId="68" xfId="0" applyNumberFormat="1" applyFont="1" applyFill="1" applyBorder="1" applyAlignment="1" applyProtection="1">
      <alignment horizontal="right" vertical="center" indent="1"/>
      <protection hidden="1"/>
    </xf>
    <xf numFmtId="184" fontId="36" fillId="4" borderId="115" xfId="0" applyNumberFormat="1" applyFont="1" applyFill="1" applyBorder="1" applyAlignment="1" applyProtection="1">
      <alignment horizontal="right" vertical="center" indent="1"/>
      <protection hidden="1"/>
    </xf>
    <xf numFmtId="169" fontId="36" fillId="4" borderId="68" xfId="0" applyNumberFormat="1" applyFont="1" applyFill="1" applyBorder="1" applyAlignment="1" applyProtection="1">
      <alignment horizontal="right" vertical="center" indent="1"/>
      <protection hidden="1"/>
    </xf>
    <xf numFmtId="169" fontId="36" fillId="4" borderId="69" xfId="0" applyNumberFormat="1" applyFont="1" applyFill="1" applyBorder="1" applyAlignment="1" applyProtection="1">
      <alignment horizontal="right" vertical="center" indent="1"/>
      <protection hidden="1"/>
    </xf>
    <xf numFmtId="0" fontId="55" fillId="4" borderId="112" xfId="0" applyFont="1" applyFill="1" applyBorder="1" applyAlignment="1" applyProtection="1">
      <alignment horizontal="right" vertical="center" indent="2"/>
      <protection hidden="1"/>
    </xf>
    <xf numFmtId="8" fontId="3" fillId="18" borderId="68" xfId="4" applyNumberFormat="1" applyFont="1" applyFill="1" applyBorder="1" applyAlignment="1" applyProtection="1">
      <alignment horizontal="right" vertical="center" indent="1"/>
      <protection hidden="1"/>
    </xf>
    <xf numFmtId="169" fontId="3" fillId="18" borderId="68" xfId="4" applyNumberFormat="1" applyFont="1" applyFill="1" applyBorder="1" applyAlignment="1" applyProtection="1">
      <alignment horizontal="right" vertical="center" indent="1"/>
      <protection hidden="1"/>
    </xf>
    <xf numFmtId="183" fontId="1" fillId="4" borderId="68" xfId="0" applyNumberFormat="1" applyFont="1" applyFill="1" applyBorder="1" applyAlignment="1" applyProtection="1">
      <alignment horizontal="right" vertical="center" indent="1"/>
      <protection hidden="1"/>
    </xf>
    <xf numFmtId="191" fontId="3" fillId="18" borderId="74" xfId="4" applyNumberFormat="1" applyFont="1" applyFill="1" applyBorder="1" applyAlignment="1" applyProtection="1">
      <alignment horizontal="right" vertical="center" indent="1"/>
      <protection hidden="1"/>
    </xf>
    <xf numFmtId="0" fontId="2" fillId="19" borderId="140" xfId="0" applyFont="1" applyFill="1" applyBorder="1" applyAlignment="1" applyProtection="1">
      <alignment horizontal="left" vertical="center" indent="1"/>
      <protection hidden="1"/>
    </xf>
    <xf numFmtId="8" fontId="2" fillId="19" borderId="140" xfId="0" applyNumberFormat="1" applyFont="1" applyFill="1" applyBorder="1" applyAlignment="1" applyProtection="1">
      <alignment vertical="center"/>
      <protection hidden="1"/>
    </xf>
    <xf numFmtId="8" fontId="2" fillId="19" borderId="140" xfId="0" applyNumberFormat="1" applyFont="1" applyFill="1" applyBorder="1" applyAlignment="1" applyProtection="1">
      <alignment horizontal="right" vertical="center"/>
      <protection hidden="1"/>
    </xf>
    <xf numFmtId="0" fontId="1" fillId="0" borderId="140" xfId="0" applyFont="1" applyBorder="1" applyAlignment="1" applyProtection="1">
      <alignment horizontal="left" vertical="center" indent="1"/>
      <protection hidden="1"/>
    </xf>
    <xf numFmtId="8" fontId="1" fillId="0" borderId="140" xfId="0" applyNumberFormat="1" applyFont="1" applyBorder="1" applyAlignment="1" applyProtection="1">
      <alignment vertical="center"/>
      <protection hidden="1"/>
    </xf>
    <xf numFmtId="184" fontId="1" fillId="0" borderId="140" xfId="0" applyNumberFormat="1" applyFont="1" applyBorder="1" applyAlignment="1" applyProtection="1">
      <alignment vertical="center"/>
      <protection hidden="1"/>
    </xf>
    <xf numFmtId="0" fontId="1" fillId="19" borderId="140" xfId="0" applyFont="1" applyFill="1" applyBorder="1" applyAlignment="1" applyProtection="1">
      <alignment horizontal="center" vertical="center"/>
      <protection hidden="1"/>
    </xf>
    <xf numFmtId="184" fontId="2" fillId="19" borderId="140" xfId="0" applyNumberFormat="1" applyFont="1" applyFill="1" applyBorder="1" applyAlignment="1" applyProtection="1">
      <alignment vertical="center"/>
      <protection hidden="1"/>
    </xf>
    <xf numFmtId="0" fontId="2" fillId="19" borderId="140" xfId="0" applyFont="1" applyFill="1" applyBorder="1" applyAlignment="1" applyProtection="1">
      <alignment vertical="center"/>
      <protection hidden="1"/>
    </xf>
    <xf numFmtId="168" fontId="1" fillId="0" borderId="140" xfId="0" applyNumberFormat="1" applyFont="1" applyBorder="1" applyAlignment="1" applyProtection="1">
      <alignment vertical="center"/>
      <protection hidden="1"/>
    </xf>
    <xf numFmtId="0" fontId="2" fillId="19" borderId="140" xfId="0" applyFont="1" applyFill="1" applyBorder="1" applyAlignment="1" applyProtection="1">
      <alignment horizontal="center" vertical="center"/>
      <protection hidden="1"/>
    </xf>
    <xf numFmtId="183" fontId="2" fillId="16" borderId="140" xfId="0" applyNumberFormat="1" applyFont="1" applyFill="1" applyBorder="1" applyAlignment="1" applyProtection="1">
      <alignment vertical="center"/>
      <protection locked="0"/>
    </xf>
    <xf numFmtId="0" fontId="1" fillId="0" borderId="140" xfId="0" applyFont="1" applyBorder="1" applyAlignment="1" applyProtection="1">
      <alignment vertical="center"/>
      <protection hidden="1"/>
    </xf>
    <xf numFmtId="7" fontId="1" fillId="0" borderId="140" xfId="0" applyNumberFormat="1" applyFont="1" applyBorder="1" applyAlignment="1" applyProtection="1">
      <alignment vertical="center"/>
      <protection hidden="1"/>
    </xf>
    <xf numFmtId="0" fontId="2" fillId="0" borderId="140" xfId="0" applyFont="1" applyBorder="1" applyAlignment="1" applyProtection="1">
      <alignment horizontal="left" vertical="center" indent="1"/>
      <protection hidden="1"/>
    </xf>
    <xf numFmtId="0" fontId="1" fillId="19" borderId="113" xfId="0" applyFont="1" applyFill="1" applyBorder="1" applyAlignment="1" applyProtection="1">
      <alignment horizontal="center" vertical="center"/>
      <protection hidden="1"/>
    </xf>
    <xf numFmtId="0" fontId="42" fillId="0" borderId="141" xfId="4" applyFont="1" applyBorder="1" applyAlignment="1" applyProtection="1">
      <alignment horizontal="center" vertical="center"/>
      <protection locked="0" hidden="1"/>
    </xf>
    <xf numFmtId="8" fontId="42" fillId="19" borderId="136" xfId="4" applyNumberFormat="1" applyFont="1" applyFill="1" applyBorder="1" applyAlignment="1" applyProtection="1">
      <alignment horizontal="right" vertical="center" indent="1"/>
      <protection locked="0" hidden="1"/>
    </xf>
    <xf numFmtId="183" fontId="1" fillId="16" borderId="142" xfId="0" applyNumberFormat="1" applyFont="1" applyFill="1" applyBorder="1" applyAlignment="1" applyProtection="1">
      <alignment horizontal="right" vertical="center" indent="1"/>
      <protection locked="0"/>
    </xf>
    <xf numFmtId="0" fontId="42" fillId="22" borderId="141" xfId="4" applyFont="1" applyFill="1" applyBorder="1" applyAlignment="1" applyProtection="1">
      <alignment horizontal="center" vertical="center"/>
      <protection locked="0" hidden="1"/>
    </xf>
    <xf numFmtId="0" fontId="87" fillId="13" borderId="143" xfId="4" applyFont="1" applyFill="1" applyBorder="1" applyAlignment="1" applyProtection="1">
      <alignment horizontal="center" vertical="center"/>
      <protection locked="0" hidden="1"/>
    </xf>
    <xf numFmtId="0" fontId="87" fillId="13" borderId="144" xfId="4" applyFont="1" applyFill="1" applyBorder="1" applyAlignment="1" applyProtection="1">
      <alignment horizontal="left" vertical="center" indent="1"/>
      <protection locked="0"/>
    </xf>
    <xf numFmtId="0" fontId="15" fillId="13" borderId="145" xfId="4" applyFont="1" applyFill="1" applyBorder="1" applyAlignment="1" applyProtection="1">
      <alignment vertical="center"/>
      <protection locked="0" hidden="1"/>
    </xf>
    <xf numFmtId="0" fontId="42" fillId="19" borderId="141" xfId="4" applyFont="1" applyFill="1" applyBorder="1" applyAlignment="1" applyProtection="1">
      <alignment horizontal="center" vertical="center"/>
      <protection locked="0" hidden="1"/>
    </xf>
    <xf numFmtId="0" fontId="42" fillId="13" borderId="144" xfId="4" applyFont="1" applyFill="1" applyBorder="1" applyAlignment="1" applyProtection="1">
      <alignment horizontal="left" vertical="center" indent="1"/>
      <protection locked="0"/>
    </xf>
    <xf numFmtId="0" fontId="42" fillId="13" borderId="145" xfId="4" applyFont="1" applyFill="1" applyBorder="1" applyAlignment="1" applyProtection="1">
      <alignment vertical="center"/>
      <protection locked="0" hidden="1"/>
    </xf>
    <xf numFmtId="0" fontId="1" fillId="0" borderId="146" xfId="0" applyFont="1" applyBorder="1" applyAlignment="1" applyProtection="1">
      <alignment horizontal="left" vertical="center" indent="1"/>
      <protection hidden="1"/>
    </xf>
    <xf numFmtId="49" fontId="1" fillId="16" borderId="146" xfId="0" applyNumberFormat="1" applyFont="1" applyFill="1" applyBorder="1" applyAlignment="1" applyProtection="1">
      <alignment horizontal="right" vertical="center" indent="1"/>
      <protection locked="0"/>
    </xf>
    <xf numFmtId="0" fontId="15" fillId="13" borderId="146" xfId="4" applyFont="1" applyFill="1" applyBorder="1" applyAlignment="1" applyProtection="1">
      <alignment vertical="center"/>
      <protection locked="0"/>
    </xf>
    <xf numFmtId="8" fontId="42" fillId="13" borderId="136" xfId="4" applyNumberFormat="1" applyFont="1" applyFill="1" applyBorder="1" applyAlignment="1" applyProtection="1">
      <alignment horizontal="right" vertical="center" indent="1"/>
      <protection locked="0"/>
    </xf>
    <xf numFmtId="0" fontId="1" fillId="0" borderId="147" xfId="0" applyFont="1" applyBorder="1" applyAlignment="1" applyProtection="1">
      <alignment horizontal="left" vertical="center" indent="1"/>
      <protection hidden="1"/>
    </xf>
    <xf numFmtId="8" fontId="1" fillId="0" borderId="147" xfId="0" applyNumberFormat="1" applyFont="1" applyBorder="1" applyAlignment="1" applyProtection="1">
      <alignment vertical="center"/>
      <protection hidden="1"/>
    </xf>
    <xf numFmtId="0" fontId="1" fillId="0" borderId="147" xfId="0" applyFont="1" applyBorder="1" applyAlignment="1" applyProtection="1">
      <alignment horizontal="center" vertical="center"/>
      <protection hidden="1"/>
    </xf>
    <xf numFmtId="0" fontId="2" fillId="0" borderId="147" xfId="0" applyFont="1" applyBorder="1" applyAlignment="1" applyProtection="1">
      <alignment horizontal="left" vertical="center" indent="1"/>
      <protection hidden="1"/>
    </xf>
    <xf numFmtId="8" fontId="2" fillId="0" borderId="147" xfId="0" applyNumberFormat="1" applyFont="1" applyBorder="1" applyAlignment="1" applyProtection="1">
      <alignment vertical="center"/>
      <protection hidden="1"/>
    </xf>
    <xf numFmtId="0" fontId="2" fillId="0" borderId="147" xfId="0" applyFont="1" applyBorder="1" applyAlignment="1" applyProtection="1">
      <alignment horizontal="center" vertical="center"/>
      <protection hidden="1"/>
    </xf>
    <xf numFmtId="0" fontId="52" fillId="19" borderId="113" xfId="4" applyFont="1" applyFill="1" applyBorder="1" applyAlignment="1" applyProtection="1">
      <alignment horizontal="center" vertical="center"/>
      <protection locked="0"/>
    </xf>
    <xf numFmtId="0" fontId="42" fillId="5" borderId="90" xfId="4" applyFont="1" applyFill="1" applyBorder="1" applyAlignment="1" applyProtection="1">
      <alignment horizontal="left" vertical="center" wrapText="1" indent="1"/>
      <protection hidden="1"/>
    </xf>
    <xf numFmtId="0" fontId="42" fillId="5" borderId="96" xfId="4" applyFont="1" applyFill="1" applyBorder="1" applyAlignment="1" applyProtection="1">
      <alignment horizontal="left" vertical="center" wrapText="1" indent="1"/>
      <protection hidden="1"/>
    </xf>
    <xf numFmtId="0" fontId="42" fillId="16" borderId="147" xfId="4" applyFont="1" applyFill="1" applyBorder="1" applyAlignment="1" applyProtection="1">
      <alignment vertical="center"/>
      <protection hidden="1"/>
    </xf>
    <xf numFmtId="0" fontId="93" fillId="17" borderId="148" xfId="0" applyFont="1" applyFill="1" applyBorder="1" applyAlignment="1" applyProtection="1">
      <alignment horizontal="left" vertical="center" indent="1"/>
      <protection hidden="1"/>
    </xf>
    <xf numFmtId="8" fontId="93" fillId="17" borderId="148" xfId="0" applyNumberFormat="1" applyFont="1" applyFill="1" applyBorder="1" applyAlignment="1" applyProtection="1">
      <alignment horizontal="center" vertical="center"/>
      <protection hidden="1"/>
    </xf>
    <xf numFmtId="0" fontId="93" fillId="17" borderId="148" xfId="0" applyFont="1" applyFill="1" applyBorder="1" applyAlignment="1" applyProtection="1">
      <alignment horizontal="center" vertical="center"/>
      <protection hidden="1"/>
    </xf>
    <xf numFmtId="0" fontId="1" fillId="0" borderId="148" xfId="0" applyFont="1" applyBorder="1" applyAlignment="1" applyProtection="1">
      <alignment horizontal="left" vertical="center" indent="1"/>
      <protection hidden="1"/>
    </xf>
    <xf numFmtId="185" fontId="1" fillId="0" borderId="148" xfId="0" applyNumberFormat="1" applyFont="1" applyBorder="1" applyAlignment="1" applyProtection="1">
      <alignment vertical="center"/>
      <protection hidden="1"/>
    </xf>
    <xf numFmtId="183" fontId="1" fillId="0" borderId="148" xfId="0" applyNumberFormat="1" applyFont="1" applyBorder="1" applyAlignment="1" applyProtection="1">
      <alignment vertical="center"/>
      <protection hidden="1"/>
    </xf>
    <xf numFmtId="8" fontId="1" fillId="0" borderId="148" xfId="0" applyNumberFormat="1" applyFont="1" applyBorder="1" applyAlignment="1" applyProtection="1">
      <alignment vertical="center"/>
      <protection hidden="1"/>
    </xf>
    <xf numFmtId="0" fontId="2" fillId="19" borderId="148" xfId="0" applyFont="1" applyFill="1" applyBorder="1" applyAlignment="1" applyProtection="1">
      <alignment horizontal="left" vertical="center" indent="1"/>
      <protection hidden="1"/>
    </xf>
    <xf numFmtId="185" fontId="2" fillId="19" borderId="148" xfId="0" applyNumberFormat="1" applyFont="1" applyFill="1" applyBorder="1" applyAlignment="1" applyProtection="1">
      <alignment vertical="center"/>
      <protection hidden="1"/>
    </xf>
    <xf numFmtId="8" fontId="2" fillId="19" borderId="148" xfId="0" applyNumberFormat="1" applyFont="1" applyFill="1" applyBorder="1" applyAlignment="1" applyProtection="1">
      <alignment vertical="center"/>
      <protection hidden="1"/>
    </xf>
    <xf numFmtId="0" fontId="3" fillId="9" borderId="75" xfId="4" applyFill="1" applyBorder="1" applyAlignment="1" applyProtection="1">
      <protection hidden="1"/>
    </xf>
    <xf numFmtId="0" fontId="3" fillId="9" borderId="76" xfId="4" applyFill="1" applyBorder="1" applyAlignment="1" applyProtection="1">
      <protection hidden="1"/>
    </xf>
    <xf numFmtId="0" fontId="3" fillId="0" borderId="0" xfId="4" applyFill="1" applyBorder="1" applyAlignment="1" applyProtection="1">
      <alignment horizontal="center" vertical="center"/>
      <protection hidden="1"/>
    </xf>
    <xf numFmtId="0" fontId="50" fillId="0" borderId="0" xfId="4" applyFont="1" applyFill="1" applyBorder="1" applyAlignment="1" applyProtection="1">
      <alignment horizontal="center" vertical="center"/>
      <protection hidden="1"/>
    </xf>
    <xf numFmtId="180" fontId="3" fillId="5" borderId="148" xfId="4" applyNumberFormat="1" applyFont="1" applyFill="1" applyBorder="1" applyAlignment="1" applyProtection="1">
      <alignment horizontal="right" vertical="center" indent="1"/>
      <protection hidden="1"/>
    </xf>
    <xf numFmtId="179" fontId="3" fillId="5" borderId="148" xfId="4" applyNumberFormat="1" applyFont="1" applyFill="1" applyBorder="1" applyAlignment="1" applyProtection="1">
      <alignment horizontal="right" vertical="center" indent="1"/>
      <protection hidden="1"/>
    </xf>
    <xf numFmtId="0" fontId="52" fillId="10" borderId="151" xfId="4" applyFont="1" applyFill="1" applyBorder="1" applyAlignment="1" applyProtection="1">
      <alignment horizontal="center" vertical="center"/>
      <protection hidden="1"/>
    </xf>
    <xf numFmtId="0" fontId="52" fillId="10" borderId="152" xfId="4" applyFont="1" applyFill="1" applyBorder="1" applyAlignment="1" applyProtection="1">
      <alignment horizontal="center" vertical="center" wrapText="1"/>
      <protection hidden="1"/>
    </xf>
    <xf numFmtId="0" fontId="52" fillId="10" borderId="153" xfId="4" applyFont="1" applyFill="1" applyBorder="1" applyAlignment="1" applyProtection="1">
      <alignment horizontal="center" vertical="center" wrapText="1"/>
      <protection hidden="1"/>
    </xf>
    <xf numFmtId="14" fontId="3" fillId="5" borderId="154" xfId="4" applyNumberFormat="1" applyFont="1" applyFill="1" applyBorder="1" applyAlignment="1" applyProtection="1">
      <alignment horizontal="center" vertical="center"/>
      <protection hidden="1"/>
    </xf>
    <xf numFmtId="14" fontId="3" fillId="5" borderId="156" xfId="4" applyNumberFormat="1" applyFont="1" applyFill="1" applyBorder="1" applyAlignment="1" applyProtection="1">
      <alignment horizontal="center" vertical="center"/>
      <protection hidden="1"/>
    </xf>
    <xf numFmtId="180" fontId="3" fillId="5" borderId="157" xfId="4" applyNumberFormat="1" applyFont="1" applyFill="1" applyBorder="1" applyAlignment="1" applyProtection="1">
      <alignment horizontal="right" vertical="center" indent="1"/>
      <protection hidden="1"/>
    </xf>
    <xf numFmtId="179" fontId="3" fillId="5" borderId="157" xfId="4" applyNumberFormat="1" applyFont="1" applyFill="1" applyBorder="1" applyAlignment="1" applyProtection="1">
      <alignment horizontal="right" vertical="center" indent="1"/>
      <protection hidden="1"/>
    </xf>
    <xf numFmtId="180" fontId="3" fillId="5" borderId="155" xfId="4" applyNumberFormat="1" applyFont="1" applyFill="1" applyBorder="1" applyAlignment="1" applyProtection="1">
      <alignment horizontal="right" vertical="center" indent="1"/>
      <protection hidden="1"/>
    </xf>
    <xf numFmtId="180" fontId="3" fillId="5" borderId="158" xfId="4" applyNumberFormat="1" applyFont="1" applyFill="1" applyBorder="1" applyAlignment="1" applyProtection="1">
      <alignment horizontal="right" vertical="center" indent="1"/>
      <protection hidden="1"/>
    </xf>
    <xf numFmtId="0" fontId="3" fillId="18" borderId="116" xfId="4" applyFont="1" applyFill="1" applyBorder="1" applyAlignment="1" applyProtection="1">
      <alignment horizontal="left" vertical="center" indent="1"/>
      <protection hidden="1"/>
    </xf>
    <xf numFmtId="0" fontId="3" fillId="18" borderId="150" xfId="4" applyFont="1" applyFill="1" applyBorder="1" applyAlignment="1" applyProtection="1">
      <alignment vertical="center"/>
      <protection hidden="1"/>
    </xf>
    <xf numFmtId="0" fontId="42" fillId="0" borderId="149" xfId="4" applyFont="1" applyBorder="1" applyAlignment="1" applyProtection="1">
      <alignment horizontal="left" vertical="center" indent="1"/>
      <protection hidden="1"/>
    </xf>
    <xf numFmtId="0" fontId="42" fillId="0" borderId="150" xfId="4" applyFont="1" applyBorder="1" applyAlignment="1" applyProtection="1">
      <alignment vertical="center"/>
      <protection hidden="1"/>
    </xf>
    <xf numFmtId="0" fontId="15" fillId="16" borderId="148" xfId="4" applyFont="1" applyFill="1" applyBorder="1" applyAlignment="1" applyProtection="1">
      <alignment vertical="center"/>
      <protection hidden="1"/>
    </xf>
    <xf numFmtId="0" fontId="1" fillId="0" borderId="148" xfId="0" applyFont="1" applyBorder="1" applyAlignment="1" applyProtection="1">
      <alignment horizontal="center" vertical="center"/>
      <protection hidden="1"/>
    </xf>
    <xf numFmtId="0" fontId="1" fillId="0" borderId="159" xfId="0" applyFont="1" applyBorder="1" applyAlignment="1" applyProtection="1">
      <alignment vertical="center"/>
      <protection hidden="1"/>
    </xf>
    <xf numFmtId="0" fontId="1" fillId="0" borderId="159" xfId="0" applyFont="1" applyBorder="1" applyAlignment="1" applyProtection="1">
      <alignment vertical="top"/>
      <protection hidden="1"/>
    </xf>
    <xf numFmtId="0" fontId="1" fillId="0" borderId="149" xfId="0" applyFont="1" applyBorder="1" applyAlignment="1" applyProtection="1">
      <alignment horizontal="left" vertical="center" indent="1"/>
      <protection hidden="1"/>
    </xf>
    <xf numFmtId="0" fontId="1" fillId="7" borderId="148" xfId="0" applyFont="1" applyFill="1" applyBorder="1" applyAlignment="1" applyProtection="1">
      <alignment horizontal="left" vertical="center" indent="1"/>
      <protection hidden="1"/>
    </xf>
    <xf numFmtId="169" fontId="1" fillId="16" borderId="148" xfId="0" applyNumberFormat="1" applyFont="1" applyFill="1" applyBorder="1" applyAlignment="1" applyProtection="1">
      <alignment horizontal="right" vertical="center" indent="1"/>
      <protection locked="0"/>
    </xf>
    <xf numFmtId="182" fontId="15" fillId="0" borderId="0" xfId="4" applyNumberFormat="1" applyFont="1" applyAlignment="1" applyProtection="1">
      <alignment vertical="center"/>
      <protection locked="0" hidden="1"/>
    </xf>
    <xf numFmtId="8" fontId="14" fillId="0" borderId="98" xfId="4" applyNumberFormat="1" applyFont="1" applyBorder="1" applyAlignment="1" applyProtection="1">
      <alignment vertical="center"/>
      <protection locked="0" hidden="1"/>
    </xf>
    <xf numFmtId="0" fontId="15" fillId="0" borderId="148" xfId="4" applyFont="1" applyBorder="1" applyAlignment="1" applyProtection="1">
      <alignment horizontal="left" vertical="center" indent="1"/>
      <protection locked="0" hidden="1"/>
    </xf>
    <xf numFmtId="8" fontId="15" fillId="0" borderId="148" xfId="4" applyNumberFormat="1" applyFont="1" applyBorder="1" applyAlignment="1" applyProtection="1">
      <alignment vertical="center"/>
      <protection locked="0" hidden="1"/>
    </xf>
    <xf numFmtId="0" fontId="80" fillId="0" borderId="50" xfId="0" applyFont="1" applyFill="1" applyBorder="1" applyAlignment="1" applyProtection="1">
      <alignment vertical="top"/>
      <protection hidden="1"/>
    </xf>
    <xf numFmtId="8" fontId="1" fillId="16" borderId="148" xfId="0" applyNumberFormat="1" applyFont="1" applyFill="1" applyBorder="1" applyAlignment="1" applyProtection="1">
      <alignment horizontal="right" vertical="center" indent="1"/>
      <protection locked="0"/>
    </xf>
    <xf numFmtId="168" fontId="1" fillId="0" borderId="160" xfId="0" applyNumberFormat="1" applyFont="1" applyBorder="1" applyAlignment="1" applyProtection="1">
      <alignment vertical="center"/>
      <protection hidden="1"/>
    </xf>
    <xf numFmtId="7" fontId="1" fillId="0" borderId="160" xfId="0" applyNumberFormat="1" applyFont="1" applyBorder="1" applyAlignment="1" applyProtection="1">
      <alignment vertical="center"/>
      <protection hidden="1"/>
    </xf>
    <xf numFmtId="0" fontId="1" fillId="19" borderId="160" xfId="0" applyFont="1" applyFill="1" applyBorder="1" applyAlignment="1" applyProtection="1">
      <alignment horizontal="left" vertical="center" indent="1"/>
      <protection hidden="1"/>
    </xf>
    <xf numFmtId="168" fontId="23" fillId="0" borderId="108" xfId="0" applyNumberFormat="1" applyFont="1" applyFill="1" applyBorder="1" applyAlignment="1" applyProtection="1">
      <alignment horizontal="center" vertical="center"/>
      <protection locked="0"/>
    </xf>
    <xf numFmtId="14" fontId="1" fillId="0" borderId="0" xfId="0" applyNumberFormat="1" applyFont="1" applyAlignment="1" applyProtection="1">
      <alignment vertical="center"/>
      <protection hidden="1"/>
    </xf>
    <xf numFmtId="0" fontId="14" fillId="7" borderId="37" xfId="4" applyFont="1" applyFill="1" applyBorder="1" applyAlignment="1" applyProtection="1">
      <alignment horizontal="center" vertical="center"/>
      <protection locked="0" hidden="1"/>
    </xf>
    <xf numFmtId="0" fontId="93" fillId="17" borderId="98" xfId="0" applyFont="1" applyFill="1" applyBorder="1" applyAlignment="1" applyProtection="1">
      <alignment horizontal="center" vertical="center"/>
      <protection hidden="1"/>
    </xf>
    <xf numFmtId="0" fontId="4" fillId="13" borderId="34" xfId="4" applyFont="1" applyFill="1" applyBorder="1" applyAlignment="1" applyProtection="1">
      <alignment horizontal="center" vertical="center"/>
      <protection locked="0" hidden="1"/>
    </xf>
    <xf numFmtId="168" fontId="15" fillId="0" borderId="37" xfId="4" applyNumberFormat="1" applyFont="1" applyBorder="1" applyAlignment="1" applyProtection="1">
      <alignment horizontal="right" vertical="center" indent="1"/>
      <protection locked="0" hidden="1"/>
    </xf>
    <xf numFmtId="8" fontId="15" fillId="0" borderId="53" xfId="4" applyNumberFormat="1" applyFont="1" applyBorder="1" applyAlignment="1" applyProtection="1">
      <alignment horizontal="right" vertical="center" indent="1"/>
      <protection locked="0" hidden="1"/>
    </xf>
    <xf numFmtId="8" fontId="15" fillId="0" borderId="98" xfId="4" applyNumberFormat="1" applyFont="1" applyBorder="1" applyAlignment="1" applyProtection="1">
      <alignment horizontal="right" vertical="center" indent="1"/>
      <protection locked="0" hidden="1"/>
    </xf>
    <xf numFmtId="198" fontId="15" fillId="0" borderId="98" xfId="4" applyNumberFormat="1" applyFont="1" applyBorder="1" applyAlignment="1" applyProtection="1">
      <alignment horizontal="right" vertical="center" indent="1"/>
      <protection locked="0" hidden="1"/>
    </xf>
    <xf numFmtId="198" fontId="15" fillId="0" borderId="160" xfId="4" applyNumberFormat="1" applyFont="1" applyBorder="1" applyAlignment="1" applyProtection="1">
      <alignment horizontal="right" vertical="center" indent="1"/>
      <protection locked="0" hidden="1"/>
    </xf>
    <xf numFmtId="0" fontId="33" fillId="0" borderId="61" xfId="0" applyFont="1" applyFill="1" applyBorder="1" applyAlignment="1" applyProtection="1">
      <alignment vertical="center"/>
      <protection hidden="1"/>
    </xf>
    <xf numFmtId="0" fontId="1" fillId="0" borderId="0" xfId="0" applyFont="1" applyFill="1" applyBorder="1" applyAlignment="1" applyProtection="1">
      <alignment vertical="center"/>
      <protection hidden="1"/>
    </xf>
    <xf numFmtId="0" fontId="1" fillId="0" borderId="0" xfId="0" applyFont="1" applyFill="1" applyBorder="1" applyAlignment="1" applyProtection="1">
      <alignment horizontal="right" vertical="center" indent="1"/>
      <protection hidden="1"/>
    </xf>
    <xf numFmtId="168" fontId="1" fillId="0" borderId="0" xfId="0" applyNumberFormat="1" applyFont="1" applyFill="1" applyBorder="1" applyAlignment="1" applyProtection="1">
      <alignment vertical="center"/>
      <protection hidden="1"/>
    </xf>
    <xf numFmtId="0" fontId="69" fillId="4" borderId="67" xfId="0" applyFont="1" applyFill="1" applyBorder="1" applyAlignment="1" applyProtection="1">
      <alignment horizontal="left" vertical="center" indent="1"/>
      <protection hidden="1"/>
    </xf>
    <xf numFmtId="168" fontId="17" fillId="13" borderId="99" xfId="0" applyNumberFormat="1" applyFont="1" applyFill="1" applyBorder="1" applyAlignment="1" applyProtection="1">
      <alignment horizontal="right" vertical="center" indent="1"/>
      <protection locked="0" hidden="1"/>
    </xf>
    <xf numFmtId="0" fontId="11" fillId="0" borderId="9" xfId="0" applyFont="1" applyFill="1" applyBorder="1" applyAlignment="1" applyProtection="1">
      <alignment horizontal="left" vertical="center" indent="1"/>
      <protection locked="0" hidden="1"/>
    </xf>
    <xf numFmtId="0" fontId="11" fillId="0" borderId="10" xfId="0" applyFont="1" applyFill="1" applyBorder="1" applyAlignment="1" applyProtection="1">
      <alignment horizontal="left" vertical="center" indent="1"/>
      <protection locked="0" hidden="1"/>
    </xf>
    <xf numFmtId="0" fontId="11" fillId="0" borderId="11" xfId="0" applyFont="1" applyFill="1" applyBorder="1" applyAlignment="1" applyProtection="1">
      <alignment horizontal="left" vertical="center" indent="1"/>
      <protection locked="0" hidden="1"/>
    </xf>
    <xf numFmtId="0" fontId="26" fillId="4" borderId="99" xfId="0" applyFont="1" applyFill="1" applyBorder="1" applyAlignment="1" applyProtection="1">
      <alignment horizontal="left" vertical="center" indent="1"/>
      <protection locked="0" hidden="1"/>
    </xf>
    <xf numFmtId="0" fontId="26" fillId="4" borderId="100" xfId="0" applyFont="1" applyFill="1" applyBorder="1" applyAlignment="1" applyProtection="1">
      <alignment horizontal="left" vertical="center" indent="1"/>
      <protection locked="0" hidden="1"/>
    </xf>
    <xf numFmtId="0" fontId="15" fillId="0" borderId="160" xfId="4" applyFont="1" applyBorder="1" applyAlignment="1" applyProtection="1">
      <alignment horizontal="center" vertical="center"/>
      <protection locked="0" hidden="1"/>
    </xf>
    <xf numFmtId="14" fontId="15" fillId="0" borderId="53" xfId="4" applyNumberFormat="1" applyFont="1" applyBorder="1" applyAlignment="1" applyProtection="1">
      <alignment horizontal="center" vertical="center"/>
      <protection locked="0" hidden="1"/>
    </xf>
    <xf numFmtId="8" fontId="15" fillId="0" borderId="160" xfId="4" applyNumberFormat="1" applyFont="1" applyBorder="1" applyAlignment="1" applyProtection="1">
      <alignment horizontal="right" vertical="center" indent="1"/>
      <protection locked="0" hidden="1"/>
    </xf>
    <xf numFmtId="0" fontId="15" fillId="0" borderId="160" xfId="4" applyFont="1" applyBorder="1" applyAlignment="1" applyProtection="1">
      <alignment vertical="center"/>
      <protection locked="0" hidden="1"/>
    </xf>
    <xf numFmtId="0" fontId="69" fillId="4" borderId="150" xfId="0" applyFont="1" applyFill="1" applyBorder="1" applyAlignment="1" applyProtection="1">
      <alignment horizontal="left" vertical="center" indent="1"/>
      <protection hidden="1"/>
    </xf>
    <xf numFmtId="0" fontId="82" fillId="0" borderId="150" xfId="0" applyFont="1" applyFill="1" applyBorder="1" applyAlignment="1" applyProtection="1">
      <alignment vertical="center"/>
      <protection hidden="1"/>
    </xf>
    <xf numFmtId="0" fontId="42" fillId="16" borderId="160" xfId="4" applyFont="1" applyFill="1" applyBorder="1" applyAlignment="1" applyProtection="1">
      <alignment horizontal="center" vertical="center"/>
      <protection hidden="1"/>
    </xf>
    <xf numFmtId="198" fontId="83" fillId="16" borderId="160" xfId="0" applyNumberFormat="1" applyFont="1" applyFill="1" applyBorder="1" applyAlignment="1" applyProtection="1">
      <alignment horizontal="center" vertical="center"/>
      <protection hidden="1"/>
    </xf>
    <xf numFmtId="198" fontId="42" fillId="19" borderId="53" xfId="4" applyNumberFormat="1" applyFont="1" applyFill="1" applyBorder="1" applyAlignment="1" applyProtection="1">
      <alignment vertical="center"/>
      <protection hidden="1"/>
    </xf>
    <xf numFmtId="0" fontId="36" fillId="4" borderId="150" xfId="0" applyFont="1" applyFill="1" applyBorder="1" applyAlignment="1" applyProtection="1">
      <alignment horizontal="left" vertical="center" indent="1"/>
      <protection hidden="1"/>
    </xf>
    <xf numFmtId="0" fontId="36" fillId="4" borderId="159" xfId="0" applyFont="1" applyFill="1" applyBorder="1" applyAlignment="1" applyProtection="1">
      <alignment horizontal="left" vertical="center" indent="1"/>
      <protection hidden="1"/>
    </xf>
    <xf numFmtId="0" fontId="82" fillId="0" borderId="149" xfId="0" applyFont="1" applyFill="1" applyBorder="1" applyAlignment="1" applyProtection="1">
      <alignment horizontal="left" vertical="center" indent="1"/>
      <protection hidden="1"/>
    </xf>
    <xf numFmtId="0" fontId="82" fillId="16" borderId="160" xfId="0" applyFont="1" applyFill="1" applyBorder="1" applyAlignment="1" applyProtection="1">
      <alignment horizontal="center" vertical="center"/>
      <protection hidden="1"/>
    </xf>
    <xf numFmtId="0" fontId="82" fillId="0" borderId="150" xfId="0" applyFont="1" applyFill="1" applyBorder="1" applyAlignment="1" applyProtection="1">
      <alignment horizontal="left" vertical="center" indent="1"/>
      <protection hidden="1"/>
    </xf>
    <xf numFmtId="198" fontId="42" fillId="19" borderId="160" xfId="4" applyNumberFormat="1" applyFont="1" applyFill="1" applyBorder="1" applyAlignment="1" applyProtection="1">
      <alignment vertical="center"/>
      <protection hidden="1"/>
    </xf>
    <xf numFmtId="0" fontId="15" fillId="0" borderId="160" xfId="4" applyFont="1" applyBorder="1" applyAlignment="1" applyProtection="1">
      <alignment horizontal="center" vertical="center" wrapText="1"/>
      <protection locked="0" hidden="1"/>
    </xf>
    <xf numFmtId="0" fontId="14" fillId="0" borderId="108" xfId="4" applyFont="1" applyBorder="1" applyAlignment="1" applyProtection="1">
      <alignment horizontal="right" vertical="center"/>
      <protection locked="0" hidden="1"/>
    </xf>
    <xf numFmtId="0" fontId="82" fillId="16" borderId="160" xfId="0" applyFont="1" applyFill="1" applyBorder="1" applyAlignment="1" applyProtection="1">
      <alignment vertical="center"/>
      <protection hidden="1"/>
    </xf>
    <xf numFmtId="0" fontId="42" fillId="19" borderId="160" xfId="4" applyFont="1" applyFill="1" applyBorder="1" applyAlignment="1" applyProtection="1">
      <alignment vertical="center"/>
      <protection hidden="1"/>
    </xf>
    <xf numFmtId="168" fontId="83" fillId="16" borderId="15" xfId="0" applyNumberFormat="1" applyFont="1" applyFill="1" applyBorder="1" applyAlignment="1" applyProtection="1">
      <alignment horizontal="right" vertical="center" indent="1"/>
      <protection hidden="1"/>
    </xf>
    <xf numFmtId="168" fontId="83" fillId="0" borderId="15" xfId="0" applyNumberFormat="1" applyFont="1" applyFill="1" applyBorder="1" applyAlignment="1" applyProtection="1">
      <alignment horizontal="right" vertical="center" indent="1"/>
      <protection hidden="1"/>
    </xf>
    <xf numFmtId="8" fontId="82" fillId="0" borderId="46" xfId="0" applyNumberFormat="1" applyFont="1" applyFill="1" applyBorder="1" applyAlignment="1" applyProtection="1">
      <alignment horizontal="right" vertical="center" indent="1"/>
      <protection hidden="1"/>
    </xf>
    <xf numFmtId="8" fontId="82" fillId="0" borderId="113" xfId="0" applyNumberFormat="1" applyFont="1" applyFill="1" applyBorder="1" applyAlignment="1" applyProtection="1">
      <alignment horizontal="right" vertical="center" indent="1"/>
      <protection hidden="1"/>
    </xf>
    <xf numFmtId="169" fontId="82" fillId="0" borderId="15" xfId="0" applyNumberFormat="1" applyFont="1" applyFill="1" applyBorder="1" applyAlignment="1" applyProtection="1">
      <alignment horizontal="right" vertical="center" indent="1"/>
      <protection hidden="1"/>
    </xf>
    <xf numFmtId="169" fontId="82" fillId="0" borderId="53" xfId="0" applyNumberFormat="1" applyFont="1" applyFill="1" applyBorder="1" applyAlignment="1" applyProtection="1">
      <alignment horizontal="right" vertical="center" indent="1"/>
      <protection hidden="1"/>
    </xf>
    <xf numFmtId="198" fontId="83" fillId="16" borderId="15" xfId="0" applyNumberFormat="1" applyFont="1" applyFill="1" applyBorder="1" applyAlignment="1" applyProtection="1">
      <alignment horizontal="right" vertical="center" indent="1"/>
      <protection hidden="1"/>
    </xf>
    <xf numFmtId="168" fontId="83" fillId="16" borderId="160" xfId="0" applyNumberFormat="1" applyFont="1" applyFill="1" applyBorder="1" applyAlignment="1" applyProtection="1">
      <alignment horizontal="right" vertical="center" indent="1"/>
      <protection hidden="1"/>
    </xf>
    <xf numFmtId="8" fontId="42" fillId="16" borderId="98" xfId="4" applyNumberFormat="1" applyFont="1" applyFill="1" applyBorder="1" applyAlignment="1" applyProtection="1">
      <alignment horizontal="right" vertical="center" indent="1"/>
      <protection hidden="1"/>
    </xf>
    <xf numFmtId="169" fontId="42" fillId="16" borderId="98" xfId="4" applyNumberFormat="1" applyFont="1" applyFill="1" applyBorder="1" applyAlignment="1" applyProtection="1">
      <alignment horizontal="right" vertical="center" indent="1"/>
      <protection hidden="1"/>
    </xf>
    <xf numFmtId="183" fontId="42" fillId="0" borderId="98" xfId="4" applyNumberFormat="1" applyFont="1" applyBorder="1" applyAlignment="1" applyProtection="1">
      <alignment horizontal="right" vertical="center" indent="1"/>
      <protection hidden="1"/>
    </xf>
    <xf numFmtId="191" fontId="42" fillId="0" borderId="98" xfId="4" applyNumberFormat="1" applyFont="1" applyBorder="1" applyAlignment="1" applyProtection="1">
      <alignment horizontal="right" vertical="center" indent="1"/>
      <protection hidden="1"/>
    </xf>
    <xf numFmtId="0" fontId="15" fillId="0" borderId="6" xfId="4" applyFont="1" applyBorder="1" applyAlignment="1" applyProtection="1">
      <alignment horizontal="left" vertical="center" indent="1"/>
      <protection locked="0" hidden="1"/>
    </xf>
    <xf numFmtId="0" fontId="15" fillId="0" borderId="14" xfId="4" applyFont="1" applyBorder="1" applyAlignment="1" applyProtection="1">
      <alignment vertical="center"/>
      <protection locked="0" hidden="1"/>
    </xf>
    <xf numFmtId="0" fontId="15" fillId="0" borderId="149" xfId="4" applyFont="1" applyBorder="1" applyAlignment="1" applyProtection="1">
      <alignment horizontal="left" vertical="center" indent="1"/>
      <protection locked="0" hidden="1"/>
    </xf>
    <xf numFmtId="0" fontId="15" fillId="0" borderId="159" xfId="4" applyFont="1" applyBorder="1" applyAlignment="1" applyProtection="1">
      <alignment vertical="center"/>
      <protection locked="0" hidden="1"/>
    </xf>
    <xf numFmtId="172" fontId="15" fillId="13" borderId="0" xfId="4" applyNumberFormat="1" applyFont="1" applyFill="1" applyAlignment="1" applyProtection="1">
      <alignment horizontal="right" vertical="center" indent="1"/>
      <protection locked="0" hidden="1"/>
    </xf>
    <xf numFmtId="0" fontId="15" fillId="13" borderId="160" xfId="4" applyFont="1" applyFill="1" applyBorder="1" applyAlignment="1" applyProtection="1">
      <alignment vertical="center"/>
      <protection locked="0" hidden="1"/>
    </xf>
    <xf numFmtId="174" fontId="15" fillId="13" borderId="160" xfId="4" applyNumberFormat="1" applyFont="1" applyFill="1" applyBorder="1" applyAlignment="1" applyProtection="1">
      <alignment horizontal="right" vertical="center" indent="1"/>
      <protection locked="0" hidden="1"/>
    </xf>
    <xf numFmtId="0" fontId="26" fillId="4" borderId="149" xfId="0" applyFont="1" applyFill="1" applyBorder="1" applyAlignment="1" applyProtection="1">
      <alignment horizontal="left" vertical="center" indent="1"/>
      <protection locked="0" hidden="1"/>
    </xf>
    <xf numFmtId="0" fontId="26" fillId="4" borderId="150" xfId="0" applyFont="1" applyFill="1" applyBorder="1" applyAlignment="1" applyProtection="1">
      <alignment horizontal="left" vertical="center" indent="1"/>
      <protection locked="0" hidden="1"/>
    </xf>
    <xf numFmtId="0" fontId="26" fillId="4" borderId="159" xfId="0" applyFont="1" applyFill="1" applyBorder="1" applyAlignment="1" applyProtection="1">
      <alignment horizontal="left" vertical="center" indent="1"/>
      <protection locked="0" hidden="1"/>
    </xf>
    <xf numFmtId="0" fontId="1" fillId="0" borderId="160" xfId="0" applyFont="1" applyBorder="1" applyAlignment="1" applyProtection="1">
      <alignment vertical="center"/>
      <protection hidden="1"/>
    </xf>
    <xf numFmtId="0" fontId="1" fillId="0" borderId="140" xfId="0" applyFont="1" applyBorder="1" applyAlignment="1" applyProtection="1">
      <alignment horizontal="center" vertical="center"/>
      <protection hidden="1"/>
    </xf>
    <xf numFmtId="183" fontId="1" fillId="0" borderId="140" xfId="0" applyNumberFormat="1" applyFont="1" applyBorder="1" applyAlignment="1" applyProtection="1">
      <alignment horizontal="center" vertical="center"/>
      <protection hidden="1"/>
    </xf>
    <xf numFmtId="0" fontId="1" fillId="0" borderId="160" xfId="0" applyFont="1" applyBorder="1" applyAlignment="1" applyProtection="1">
      <alignment horizontal="center" vertical="center"/>
      <protection hidden="1"/>
    </xf>
    <xf numFmtId="0" fontId="2" fillId="0" borderId="160" xfId="0"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183" fontId="1" fillId="0" borderId="160" xfId="0" applyNumberFormat="1" applyFont="1" applyBorder="1" applyAlignment="1" applyProtection="1">
      <alignment horizontal="center" vertical="center"/>
      <protection hidden="1"/>
    </xf>
    <xf numFmtId="0" fontId="2" fillId="19" borderId="160" xfId="0" applyFont="1" applyFill="1" applyBorder="1" applyAlignment="1" applyProtection="1">
      <alignment horizontal="center" vertical="center"/>
      <protection hidden="1"/>
    </xf>
    <xf numFmtId="183" fontId="1" fillId="0" borderId="16" xfId="0" applyNumberFormat="1" applyFont="1" applyBorder="1" applyAlignment="1" applyProtection="1">
      <alignment horizontal="center" vertical="center"/>
      <protection hidden="1"/>
    </xf>
    <xf numFmtId="183" fontId="2" fillId="0" borderId="160" xfId="0" applyNumberFormat="1" applyFont="1" applyBorder="1" applyAlignment="1" applyProtection="1">
      <alignment horizontal="center" vertical="center"/>
      <protection hidden="1"/>
    </xf>
    <xf numFmtId="4" fontId="37" fillId="0" borderId="0" xfId="0" applyNumberFormat="1" applyFont="1" applyFill="1" applyBorder="1" applyAlignment="1" applyProtection="1">
      <alignment horizontal="right" vertical="center"/>
      <protection hidden="1"/>
    </xf>
    <xf numFmtId="0" fontId="15" fillId="0" borderId="127" xfId="4" applyFont="1" applyBorder="1" applyAlignment="1" applyProtection="1">
      <alignment horizontal="center" vertical="center"/>
      <protection locked="0" hidden="1"/>
    </xf>
    <xf numFmtId="0" fontId="4" fillId="13" borderId="127" xfId="4" applyFont="1" applyFill="1" applyBorder="1" applyAlignment="1" applyProtection="1">
      <alignment vertical="center"/>
      <protection locked="0" hidden="1"/>
    </xf>
    <xf numFmtId="169" fontId="15" fillId="0" borderId="127" xfId="4" applyNumberFormat="1" applyFont="1" applyBorder="1" applyAlignment="1" applyProtection="1">
      <alignment vertical="center"/>
      <protection locked="0" hidden="1"/>
    </xf>
    <xf numFmtId="0" fontId="15" fillId="0" borderId="149" xfId="4" applyFont="1" applyBorder="1" applyAlignment="1" applyProtection="1">
      <alignment vertical="center"/>
      <protection locked="0" hidden="1"/>
    </xf>
    <xf numFmtId="0" fontId="15" fillId="0" borderId="150" xfId="4" applyFont="1" applyBorder="1" applyAlignment="1" applyProtection="1">
      <alignment horizontal="left" vertical="center" indent="1"/>
      <protection locked="0" hidden="1"/>
    </xf>
    <xf numFmtId="0" fontId="15" fillId="0" borderId="159" xfId="4" applyFont="1" applyBorder="1" applyAlignment="1" applyProtection="1">
      <alignment horizontal="left" vertical="center" indent="1"/>
      <protection locked="0" hidden="1"/>
    </xf>
    <xf numFmtId="0" fontId="63" fillId="0" borderId="4" xfId="0" applyFont="1" applyFill="1" applyBorder="1" applyAlignment="1" applyProtection="1">
      <alignment vertical="center"/>
      <protection hidden="1"/>
    </xf>
    <xf numFmtId="0" fontId="7" fillId="0" borderId="0" xfId="0" applyFont="1" applyFill="1" applyBorder="1" applyAlignment="1" applyProtection="1">
      <alignment horizontal="left" vertical="center" indent="1"/>
      <protection hidden="1"/>
    </xf>
    <xf numFmtId="0" fontId="19" fillId="0" borderId="0" xfId="0" applyFont="1" applyFill="1" applyBorder="1" applyAlignment="1" applyProtection="1">
      <alignment horizontal="left" vertical="center" indent="1"/>
      <protection hidden="1"/>
    </xf>
    <xf numFmtId="0" fontId="9" fillId="0" borderId="0" xfId="0" applyFont="1" applyFill="1" applyBorder="1" applyAlignment="1" applyProtection="1">
      <alignment horizontal="center" vertical="center"/>
      <protection hidden="1"/>
    </xf>
    <xf numFmtId="0" fontId="9" fillId="0" borderId="0" xfId="0" applyFont="1" applyFill="1" applyBorder="1" applyAlignment="1" applyProtection="1">
      <alignment horizontal="right" vertical="center"/>
      <protection hidden="1"/>
    </xf>
    <xf numFmtId="0" fontId="9" fillId="0" borderId="5" xfId="0" applyFont="1" applyFill="1" applyBorder="1" applyAlignment="1" applyProtection="1">
      <alignment horizontal="center" vertical="center"/>
      <protection hidden="1"/>
    </xf>
    <xf numFmtId="0" fontId="19" fillId="0" borderId="4" xfId="0" applyFont="1" applyFill="1" applyBorder="1" applyAlignment="1" applyProtection="1">
      <alignment horizontal="left" vertical="center" indent="1"/>
      <protection hidden="1"/>
    </xf>
    <xf numFmtId="0" fontId="23" fillId="0" borderId="0" xfId="0" applyFont="1" applyFill="1" applyBorder="1" applyAlignment="1" applyProtection="1">
      <alignment vertical="center"/>
      <protection hidden="1"/>
    </xf>
    <xf numFmtId="0" fontId="20" fillId="0" borderId="5" xfId="0" applyFont="1" applyFill="1" applyBorder="1" applyAlignment="1" applyProtection="1">
      <alignment horizontal="left" vertical="center"/>
      <protection hidden="1"/>
    </xf>
    <xf numFmtId="0" fontId="23" fillId="0" borderId="0" xfId="0" applyFont="1" applyFill="1" applyBorder="1" applyAlignment="1" applyProtection="1">
      <alignment horizontal="left" vertical="center" indent="1"/>
      <protection hidden="1"/>
    </xf>
    <xf numFmtId="0" fontId="23" fillId="0" borderId="0" xfId="0" applyFont="1" applyFill="1" applyBorder="1" applyAlignment="1" applyProtection="1">
      <alignment horizontal="left" vertical="center"/>
      <protection hidden="1"/>
    </xf>
    <xf numFmtId="0" fontId="20" fillId="0" borderId="4" xfId="0" applyFont="1" applyFill="1" applyBorder="1" applyAlignment="1" applyProtection="1">
      <alignment horizontal="left" vertical="center" indent="1"/>
      <protection hidden="1"/>
    </xf>
    <xf numFmtId="0" fontId="13" fillId="0" borderId="0" xfId="0" applyFont="1" applyFill="1" applyBorder="1" applyAlignment="1" applyProtection="1">
      <alignment horizontal="left" vertical="center" indent="2"/>
      <protection hidden="1"/>
    </xf>
    <xf numFmtId="0" fontId="20" fillId="0" borderId="0" xfId="0" applyFont="1" applyFill="1" applyBorder="1" applyAlignment="1" applyProtection="1">
      <alignment horizontal="left" vertical="center" indent="1"/>
      <protection hidden="1"/>
    </xf>
    <xf numFmtId="0" fontId="23" fillId="0" borderId="5" xfId="0"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center" indent="3"/>
      <protection hidden="1"/>
    </xf>
    <xf numFmtId="0" fontId="20" fillId="0" borderId="0" xfId="0" applyFont="1" applyFill="1" applyAlignment="1" applyProtection="1">
      <alignment vertical="center"/>
      <protection hidden="1"/>
    </xf>
    <xf numFmtId="0" fontId="23" fillId="0" borderId="0" xfId="0" applyFont="1" applyFill="1" applyBorder="1" applyAlignment="1" applyProtection="1">
      <alignment horizontal="center" vertical="center"/>
      <protection hidden="1"/>
    </xf>
    <xf numFmtId="0" fontId="20" fillId="0" borderId="0" xfId="0" applyFont="1" applyFill="1" applyBorder="1" applyAlignment="1" applyProtection="1">
      <alignment vertical="center"/>
      <protection hidden="1"/>
    </xf>
    <xf numFmtId="0" fontId="23" fillId="0" borderId="0" xfId="0" applyFont="1" applyFill="1" applyBorder="1" applyAlignment="1" applyProtection="1">
      <alignment horizontal="right" vertical="center"/>
      <protection hidden="1"/>
    </xf>
    <xf numFmtId="0" fontId="20" fillId="0" borderId="50" xfId="0" applyFont="1" applyFill="1" applyBorder="1" applyAlignment="1" applyProtection="1">
      <alignment horizontal="left" vertical="center" indent="1"/>
      <protection hidden="1"/>
    </xf>
    <xf numFmtId="0" fontId="13" fillId="0" borderId="50" xfId="0" applyFont="1" applyFill="1" applyBorder="1" applyAlignment="1" applyProtection="1">
      <alignment horizontal="left" vertical="center" indent="3"/>
      <protection hidden="1"/>
    </xf>
    <xf numFmtId="0" fontId="23" fillId="0" borderId="50" xfId="0" applyFont="1" applyFill="1" applyBorder="1" applyAlignment="1" applyProtection="1">
      <alignment horizontal="center" vertical="center"/>
      <protection hidden="1"/>
    </xf>
    <xf numFmtId="0" fontId="11" fillId="0" borderId="0" xfId="0" applyFont="1" applyFill="1" applyBorder="1" applyAlignment="1" applyProtection="1">
      <alignment horizontal="left" vertical="center" indent="2"/>
      <protection hidden="1"/>
    </xf>
    <xf numFmtId="0" fontId="23" fillId="0" borderId="0" xfId="0" applyFont="1" applyFill="1" applyBorder="1" applyAlignment="1" applyProtection="1">
      <alignment horizontal="left" vertical="center" indent="2"/>
      <protection hidden="1"/>
    </xf>
    <xf numFmtId="0" fontId="63" fillId="0" borderId="0" xfId="0" applyFont="1" applyFill="1" applyBorder="1" applyAlignment="1" applyProtection="1">
      <alignment horizontal="right" vertical="center"/>
      <protection hidden="1"/>
    </xf>
    <xf numFmtId="0" fontId="19" fillId="0" borderId="6" xfId="0" applyFont="1" applyFill="1" applyBorder="1" applyAlignment="1" applyProtection="1">
      <alignment horizontal="left" vertical="center" indent="1"/>
      <protection hidden="1"/>
    </xf>
    <xf numFmtId="0" fontId="67" fillId="0" borderId="13" xfId="0" applyFont="1" applyFill="1" applyBorder="1" applyAlignment="1" applyProtection="1">
      <alignment vertical="center"/>
      <protection hidden="1"/>
    </xf>
    <xf numFmtId="0" fontId="67" fillId="0" borderId="0" xfId="0" applyFont="1" applyFill="1" applyBorder="1" applyAlignment="1" applyProtection="1">
      <alignment vertical="center"/>
      <protection hidden="1"/>
    </xf>
    <xf numFmtId="0" fontId="75" fillId="0" borderId="0" xfId="0" applyFont="1" applyFill="1" applyBorder="1" applyAlignment="1" applyProtection="1">
      <alignment horizontal="right" vertical="center"/>
      <protection hidden="1"/>
    </xf>
    <xf numFmtId="0" fontId="9" fillId="0" borderId="14" xfId="0" applyFont="1" applyFill="1" applyBorder="1" applyAlignment="1" applyProtection="1">
      <alignment horizontal="center" vertical="center"/>
      <protection hidden="1"/>
    </xf>
    <xf numFmtId="0" fontId="1" fillId="0" borderId="0" xfId="0" applyFont="1" applyFill="1" applyBorder="1" applyAlignment="1" applyProtection="1">
      <alignment vertical="center"/>
      <protection locked="0"/>
    </xf>
    <xf numFmtId="0" fontId="101" fillId="0" borderId="0" xfId="0" applyFont="1" applyFill="1" applyBorder="1" applyAlignment="1" applyProtection="1">
      <alignment horizontal="left" vertical="center"/>
      <protection hidden="1"/>
    </xf>
    <xf numFmtId="0" fontId="61" fillId="0" borderId="0" xfId="0" applyFont="1" applyFill="1" applyBorder="1" applyAlignment="1" applyProtection="1">
      <alignment vertical="center" wrapText="1"/>
      <protection hidden="1"/>
    </xf>
    <xf numFmtId="0" fontId="100" fillId="0" borderId="0" xfId="0" applyFont="1" applyFill="1" applyBorder="1" applyAlignment="1" applyProtection="1">
      <alignment horizontal="right" vertical="center"/>
      <protection hidden="1"/>
    </xf>
    <xf numFmtId="0" fontId="0" fillId="0" borderId="13" xfId="0" applyFill="1" applyBorder="1" applyAlignment="1">
      <alignment wrapText="1"/>
    </xf>
    <xf numFmtId="0" fontId="78" fillId="0" borderId="0" xfId="0" applyFont="1" applyFill="1" applyBorder="1" applyAlignment="1" applyProtection="1">
      <alignment vertical="center"/>
      <protection hidden="1"/>
    </xf>
    <xf numFmtId="0" fontId="2" fillId="0" borderId="61" xfId="0" applyFont="1" applyFill="1" applyBorder="1" applyAlignment="1" applyProtection="1">
      <alignment vertical="center"/>
      <protection hidden="1"/>
    </xf>
    <xf numFmtId="0" fontId="1" fillId="0" borderId="61" xfId="0" applyFont="1" applyFill="1" applyBorder="1" applyAlignment="1" applyProtection="1">
      <alignment vertical="center"/>
      <protection hidden="1"/>
    </xf>
    <xf numFmtId="165" fontId="1" fillId="0" borderId="61" xfId="0" applyNumberFormat="1" applyFont="1" applyFill="1" applyBorder="1" applyAlignment="1" applyProtection="1">
      <alignment vertical="center"/>
      <protection hidden="1"/>
    </xf>
    <xf numFmtId="8" fontId="11" fillId="0" borderId="61" xfId="0" applyNumberFormat="1" applyFont="1" applyFill="1" applyBorder="1" applyAlignment="1" applyProtection="1">
      <alignment vertical="center"/>
      <protection hidden="1"/>
    </xf>
    <xf numFmtId="8" fontId="11" fillId="0" borderId="61" xfId="0" applyNumberFormat="1" applyFont="1" applyFill="1" applyBorder="1" applyAlignment="1">
      <alignment vertical="center"/>
    </xf>
    <xf numFmtId="0" fontId="2" fillId="0" borderId="61" xfId="0" applyFont="1" applyFill="1" applyBorder="1" applyAlignment="1" applyProtection="1">
      <alignment horizontal="right" vertical="center"/>
      <protection hidden="1"/>
    </xf>
    <xf numFmtId="0" fontId="15" fillId="0" borderId="0" xfId="4" applyFont="1" applyAlignment="1" applyProtection="1">
      <alignment vertical="center" wrapText="1"/>
      <protection locked="0" hidden="1"/>
    </xf>
    <xf numFmtId="0" fontId="1" fillId="0" borderId="160" xfId="0" applyFont="1" applyBorder="1" applyAlignment="1" applyProtection="1">
      <alignment horizontal="center" vertical="center"/>
      <protection hidden="1"/>
    </xf>
    <xf numFmtId="0" fontId="1" fillId="0" borderId="0" xfId="0" applyFont="1" applyFill="1" applyBorder="1" applyAlignment="1" applyProtection="1">
      <alignment horizontal="left" vertical="center" indent="1"/>
      <protection hidden="1"/>
    </xf>
    <xf numFmtId="0" fontId="1" fillId="0" borderId="160" xfId="0" applyFont="1" applyBorder="1" applyAlignment="1" applyProtection="1">
      <alignment horizontal="left" vertical="center" indent="1"/>
      <protection hidden="1"/>
    </xf>
    <xf numFmtId="0" fontId="11" fillId="0" borderId="160" xfId="0" applyFont="1" applyBorder="1" applyAlignment="1" applyProtection="1">
      <alignment horizontal="left" vertical="center" indent="1"/>
      <protection hidden="1"/>
    </xf>
    <xf numFmtId="0" fontId="1" fillId="16" borderId="160" xfId="0" applyFont="1" applyFill="1" applyBorder="1" applyAlignment="1" applyProtection="1">
      <alignment horizontal="right" vertical="center" indent="1"/>
      <protection locked="0"/>
    </xf>
    <xf numFmtId="0" fontId="1" fillId="7" borderId="160" xfId="0" applyFont="1" applyFill="1" applyBorder="1" applyAlignment="1" applyProtection="1">
      <alignment horizontal="left" vertical="center" indent="1"/>
      <protection hidden="1"/>
    </xf>
    <xf numFmtId="8" fontId="1" fillId="16" borderId="160" xfId="0" applyNumberFormat="1" applyFont="1" applyFill="1" applyBorder="1" applyAlignment="1" applyProtection="1">
      <alignment horizontal="right" vertical="center" indent="1"/>
      <protection locked="0"/>
    </xf>
    <xf numFmtId="169" fontId="1" fillId="16" borderId="160" xfId="0" applyNumberFormat="1" applyFont="1" applyFill="1" applyBorder="1" applyAlignment="1" applyProtection="1">
      <alignment horizontal="right" vertical="center" indent="1"/>
      <protection locked="0"/>
    </xf>
    <xf numFmtId="0" fontId="93" fillId="17" borderId="98" xfId="0" applyFont="1" applyFill="1" applyBorder="1" applyAlignment="1" applyProtection="1">
      <alignment horizontal="center" vertical="center"/>
      <protection hidden="1"/>
    </xf>
    <xf numFmtId="7" fontId="2" fillId="19" borderId="160" xfId="0" applyNumberFormat="1" applyFont="1" applyFill="1" applyBorder="1" applyAlignment="1" applyProtection="1">
      <alignment vertical="center"/>
      <protection hidden="1"/>
    </xf>
    <xf numFmtId="10" fontId="2" fillId="16" borderId="140" xfId="0" applyNumberFormat="1" applyFont="1" applyFill="1" applyBorder="1" applyAlignment="1" applyProtection="1">
      <alignment vertical="center"/>
      <protection locked="0"/>
    </xf>
    <xf numFmtId="7" fontId="2" fillId="0" borderId="160" xfId="0" applyNumberFormat="1" applyFont="1" applyBorder="1" applyAlignment="1" applyProtection="1">
      <alignment vertical="center"/>
      <protection hidden="1"/>
    </xf>
    <xf numFmtId="0" fontId="20" fillId="0" borderId="0" xfId="0" applyFont="1" applyFill="1" applyBorder="1" applyAlignment="1" applyProtection="1">
      <alignment horizontal="left" vertical="center" wrapText="1"/>
      <protection hidden="1"/>
    </xf>
    <xf numFmtId="0" fontId="20" fillId="0" borderId="0" xfId="0" applyFont="1" applyAlignment="1" applyProtection="1">
      <alignment vertical="center"/>
      <protection hidden="1"/>
    </xf>
    <xf numFmtId="0" fontId="20" fillId="0" borderId="0" xfId="0" applyFont="1" applyFill="1" applyBorder="1" applyAlignment="1" applyProtection="1">
      <alignment vertical="center" wrapText="1"/>
      <protection hidden="1"/>
    </xf>
    <xf numFmtId="200" fontId="1" fillId="0" borderId="160" xfId="0" applyNumberFormat="1" applyFont="1" applyBorder="1" applyAlignment="1" applyProtection="1">
      <alignment vertical="center"/>
      <protection hidden="1"/>
    </xf>
    <xf numFmtId="0" fontId="1" fillId="0" borderId="160" xfId="0" applyFont="1" applyBorder="1" applyAlignment="1" applyProtection="1">
      <alignment vertical="top"/>
      <protection hidden="1"/>
    </xf>
    <xf numFmtId="169" fontId="17" fillId="0" borderId="160" xfId="0" applyNumberFormat="1" applyFont="1" applyFill="1" applyBorder="1" applyAlignment="1" applyProtection="1">
      <alignment vertical="center"/>
      <protection locked="0" hidden="1"/>
    </xf>
    <xf numFmtId="187" fontId="15" fillId="0" borderId="98" xfId="4" applyNumberFormat="1" applyFont="1" applyBorder="1" applyAlignment="1" applyProtection="1">
      <alignment horizontal="right" vertical="center" indent="1"/>
      <protection locked="0" hidden="1"/>
    </xf>
    <xf numFmtId="187" fontId="15" fillId="13" borderId="98" xfId="4" applyNumberFormat="1" applyFont="1" applyFill="1" applyBorder="1" applyAlignment="1" applyProtection="1">
      <alignment horizontal="right" vertical="center" indent="1"/>
      <protection locked="0" hidden="1"/>
    </xf>
    <xf numFmtId="187" fontId="15" fillId="0" borderId="98" xfId="4" applyNumberFormat="1" applyFont="1" applyFill="1" applyBorder="1" applyAlignment="1" applyProtection="1">
      <alignment horizontal="right" vertical="center" indent="1"/>
      <protection locked="0" hidden="1"/>
    </xf>
    <xf numFmtId="174" fontId="1" fillId="0" borderId="160" xfId="0" applyNumberFormat="1" applyFont="1" applyBorder="1" applyAlignment="1" applyProtection="1">
      <alignment horizontal="right" vertical="center" indent="1"/>
      <protection hidden="1"/>
    </xf>
    <xf numFmtId="174" fontId="2" fillId="0" borderId="160" xfId="0" applyNumberFormat="1" applyFont="1" applyBorder="1" applyAlignment="1" applyProtection="1">
      <alignment horizontal="right" vertical="center" indent="1"/>
      <protection hidden="1"/>
    </xf>
    <xf numFmtId="174" fontId="1" fillId="0" borderId="16" xfId="0" applyNumberFormat="1" applyFont="1" applyBorder="1" applyAlignment="1" applyProtection="1">
      <alignment horizontal="right" vertical="center" indent="1"/>
      <protection hidden="1"/>
    </xf>
    <xf numFmtId="174" fontId="1" fillId="0" borderId="140" xfId="0" applyNumberFormat="1" applyFont="1" applyBorder="1" applyAlignment="1" applyProtection="1">
      <alignment horizontal="right" vertical="center" indent="1"/>
      <protection hidden="1"/>
    </xf>
    <xf numFmtId="0" fontId="11" fillId="13" borderId="113" xfId="0" applyFont="1" applyFill="1" applyBorder="1" applyAlignment="1" applyProtection="1">
      <alignment horizontal="left" vertical="center" wrapText="1" indent="1"/>
      <protection hidden="1"/>
    </xf>
    <xf numFmtId="0" fontId="66" fillId="17" borderId="15" xfId="4" applyFont="1" applyFill="1" applyBorder="1" applyAlignment="1" applyProtection="1">
      <alignment horizontal="left" vertical="center" wrapText="1" indent="1"/>
      <protection locked="0"/>
    </xf>
    <xf numFmtId="0" fontId="11" fillId="13" borderId="124" xfId="0" applyFont="1" applyFill="1" applyBorder="1" applyAlignment="1" applyProtection="1">
      <alignment horizontal="left" vertical="center" wrapText="1" indent="1"/>
      <protection hidden="1"/>
    </xf>
    <xf numFmtId="0" fontId="11" fillId="13" borderId="146" xfId="0" applyFont="1" applyFill="1" applyBorder="1" applyAlignment="1" applyProtection="1">
      <alignment horizontal="left" vertical="center" wrapText="1" indent="1"/>
      <protection hidden="1"/>
    </xf>
    <xf numFmtId="0" fontId="11" fillId="13" borderId="53" xfId="0" applyFont="1" applyFill="1" applyBorder="1" applyAlignment="1" applyProtection="1">
      <alignment horizontal="left" vertical="center" wrapText="1" indent="1"/>
      <protection hidden="1"/>
    </xf>
    <xf numFmtId="0" fontId="15" fillId="0" borderId="0" xfId="4" applyFont="1" applyAlignment="1" applyProtection="1">
      <alignment horizontal="left" vertical="center" wrapText="1" indent="1"/>
      <protection locked="0"/>
    </xf>
    <xf numFmtId="0" fontId="11" fillId="13" borderId="160" xfId="0" applyFont="1" applyFill="1" applyBorder="1" applyAlignment="1" applyProtection="1">
      <alignment horizontal="left" vertical="center" wrapText="1" indent="1"/>
      <protection hidden="1"/>
    </xf>
    <xf numFmtId="0" fontId="15" fillId="13" borderId="160" xfId="4" applyFont="1" applyFill="1" applyBorder="1" applyAlignment="1" applyProtection="1">
      <alignment vertical="center"/>
      <protection locked="0"/>
    </xf>
    <xf numFmtId="49" fontId="1" fillId="16" borderId="160" xfId="0" applyNumberFormat="1" applyFont="1" applyFill="1" applyBorder="1" applyAlignment="1" applyProtection="1">
      <alignment horizontal="right" vertical="center" indent="1"/>
      <protection locked="0"/>
    </xf>
    <xf numFmtId="7" fontId="11" fillId="0" borderId="0" xfId="0" applyNumberFormat="1" applyFont="1" applyBorder="1" applyAlignment="1" applyProtection="1">
      <alignment vertical="center"/>
      <protection locked="0" hidden="1"/>
    </xf>
    <xf numFmtId="0" fontId="14" fillId="7" borderId="98" xfId="4" applyFont="1" applyFill="1" applyBorder="1" applyAlignment="1" applyProtection="1">
      <alignment horizontal="center" vertical="center"/>
      <protection locked="0" hidden="1"/>
    </xf>
    <xf numFmtId="0" fontId="4" fillId="13" borderId="161" xfId="0" applyFont="1" applyFill="1" applyBorder="1" applyAlignment="1" applyProtection="1">
      <alignment vertical="center"/>
      <protection locked="0" hidden="1"/>
    </xf>
    <xf numFmtId="0" fontId="15" fillId="12" borderId="161" xfId="4" applyFont="1" applyFill="1" applyBorder="1" applyAlignment="1" applyProtection="1">
      <alignment horizontal="center" vertical="center"/>
      <protection locked="0" hidden="1"/>
    </xf>
    <xf numFmtId="168" fontId="17" fillId="13" borderId="99" xfId="0" applyNumberFormat="1" applyFont="1" applyFill="1" applyBorder="1" applyAlignment="1" applyProtection="1">
      <alignment horizontal="right" vertical="center" indent="1"/>
      <protection locked="0" hidden="1"/>
    </xf>
    <xf numFmtId="190" fontId="17" fillId="13" borderId="162" xfId="0" applyNumberFormat="1" applyFont="1" applyFill="1" applyBorder="1" applyAlignment="1" applyProtection="1">
      <alignment horizontal="right" vertical="center" indent="1"/>
      <protection locked="0" hidden="1"/>
    </xf>
    <xf numFmtId="168" fontId="17" fillId="13" borderId="162" xfId="0" applyNumberFormat="1" applyFont="1" applyFill="1" applyBorder="1" applyAlignment="1" applyProtection="1">
      <alignment horizontal="right" vertical="center" indent="1"/>
      <protection locked="0" hidden="1"/>
    </xf>
    <xf numFmtId="168" fontId="57" fillId="13" borderId="164" xfId="0" applyNumberFormat="1" applyFont="1" applyFill="1" applyBorder="1" applyAlignment="1" applyProtection="1">
      <alignment horizontal="right" vertical="center"/>
      <protection locked="0" hidden="1"/>
    </xf>
    <xf numFmtId="0" fontId="82" fillId="0" borderId="6" xfId="0" applyFont="1" applyFill="1" applyBorder="1" applyAlignment="1" applyProtection="1">
      <alignment horizontal="left" vertical="center" indent="1"/>
      <protection hidden="1"/>
    </xf>
    <xf numFmtId="0" fontId="1" fillId="0" borderId="162" xfId="0" applyFont="1" applyBorder="1" applyAlignment="1" applyProtection="1">
      <alignment vertical="center"/>
      <protection hidden="1"/>
    </xf>
    <xf numFmtId="0" fontId="1" fillId="19" borderId="162" xfId="0" applyFont="1" applyFill="1" applyBorder="1" applyAlignment="1" applyProtection="1">
      <alignment vertical="center"/>
      <protection hidden="1"/>
    </xf>
    <xf numFmtId="201" fontId="1" fillId="0" borderId="0" xfId="0" applyNumberFormat="1" applyFont="1" applyAlignment="1" applyProtection="1">
      <alignment vertical="center"/>
      <protection hidden="1"/>
    </xf>
    <xf numFmtId="0" fontId="1" fillId="0" borderId="162" xfId="0" applyFont="1" applyBorder="1" applyAlignment="1" applyProtection="1">
      <alignment horizontal="left" vertical="center" indent="1"/>
      <protection hidden="1"/>
    </xf>
    <xf numFmtId="8" fontId="1" fillId="0" borderId="162" xfId="0" applyNumberFormat="1" applyFont="1" applyBorder="1" applyAlignment="1" applyProtection="1">
      <alignment vertical="center"/>
      <protection hidden="1"/>
    </xf>
    <xf numFmtId="168" fontId="1" fillId="0" borderId="162" xfId="0" applyNumberFormat="1" applyFont="1" applyBorder="1" applyAlignment="1" applyProtection="1">
      <alignment vertical="center"/>
      <protection hidden="1"/>
    </xf>
    <xf numFmtId="0" fontId="2" fillId="19" borderId="162" xfId="0" applyFont="1" applyFill="1" applyBorder="1" applyAlignment="1" applyProtection="1">
      <alignment vertical="center"/>
      <protection hidden="1"/>
    </xf>
    <xf numFmtId="202" fontId="1" fillId="0" borderId="162" xfId="0" applyNumberFormat="1" applyFont="1" applyBorder="1" applyAlignment="1" applyProtection="1">
      <alignment vertical="center"/>
      <protection hidden="1"/>
    </xf>
    <xf numFmtId="0" fontId="69" fillId="4" borderId="116" xfId="0" applyFont="1" applyFill="1" applyBorder="1" applyAlignment="1" applyProtection="1">
      <alignment horizontal="left" vertical="center" indent="1"/>
      <protection hidden="1"/>
    </xf>
    <xf numFmtId="198" fontId="83" fillId="0" borderId="162" xfId="0" applyNumberFormat="1" applyFont="1" applyFill="1" applyBorder="1" applyAlignment="1" applyProtection="1">
      <alignment horizontal="right" vertical="center" indent="1"/>
      <protection hidden="1"/>
    </xf>
    <xf numFmtId="0" fontId="2" fillId="24" borderId="162" xfId="0" applyFont="1" applyFill="1" applyBorder="1" applyAlignment="1" applyProtection="1">
      <alignment vertical="center"/>
      <protection hidden="1"/>
    </xf>
    <xf numFmtId="0" fontId="59" fillId="0" borderId="0" xfId="0" applyFont="1" applyFill="1" applyBorder="1" applyAlignment="1" applyProtection="1">
      <alignment horizontal="right" vertical="center"/>
      <protection hidden="1"/>
    </xf>
    <xf numFmtId="0" fontId="1" fillId="0" borderId="0" xfId="0" applyNumberFormat="1" applyFont="1" applyAlignment="1" applyProtection="1">
      <alignment vertical="center"/>
      <protection hidden="1"/>
    </xf>
    <xf numFmtId="0" fontId="1" fillId="16" borderId="137" xfId="0" applyFont="1" applyFill="1" applyBorder="1" applyAlignment="1" applyProtection="1">
      <alignment vertical="center"/>
    </xf>
    <xf numFmtId="168" fontId="1" fillId="4" borderId="110" xfId="0" applyNumberFormat="1" applyFont="1" applyFill="1" applyBorder="1" applyAlignment="1" applyProtection="1">
      <alignment horizontal="right" vertical="center" indent="1"/>
      <protection locked="0"/>
    </xf>
    <xf numFmtId="169" fontId="36" fillId="4" borderId="68" xfId="0" applyNumberFormat="1" applyFont="1" applyFill="1" applyBorder="1" applyAlignment="1" applyProtection="1">
      <alignment horizontal="right" vertical="center" indent="1"/>
      <protection locked="0"/>
    </xf>
    <xf numFmtId="169" fontId="36" fillId="4" borderId="69" xfId="0" applyNumberFormat="1" applyFont="1" applyFill="1" applyBorder="1" applyAlignment="1" applyProtection="1">
      <alignment horizontal="right" vertical="center" indent="1"/>
      <protection locked="0"/>
    </xf>
    <xf numFmtId="169" fontId="69" fillId="4" borderId="68" xfId="0" applyNumberFormat="1" applyFont="1" applyFill="1" applyBorder="1" applyAlignment="1" applyProtection="1">
      <alignment horizontal="right" vertical="center" indent="1"/>
      <protection locked="0"/>
    </xf>
    <xf numFmtId="169" fontId="69" fillId="4" borderId="110" xfId="0" applyNumberFormat="1" applyFont="1" applyFill="1" applyBorder="1" applyAlignment="1" applyProtection="1">
      <alignment horizontal="right" vertical="center" indent="1"/>
      <protection locked="0"/>
    </xf>
    <xf numFmtId="168" fontId="1" fillId="4" borderId="69" xfId="0" applyNumberFormat="1" applyFont="1" applyFill="1" applyBorder="1" applyAlignment="1" applyProtection="1">
      <alignment horizontal="right" vertical="center" indent="1"/>
      <protection locked="0"/>
    </xf>
    <xf numFmtId="8" fontId="3" fillId="18" borderId="68" xfId="4" applyNumberFormat="1" applyFont="1" applyFill="1" applyBorder="1" applyAlignment="1" applyProtection="1">
      <alignment horizontal="right" vertical="center" indent="1"/>
      <protection locked="0"/>
    </xf>
    <xf numFmtId="0" fontId="11" fillId="13" borderId="165" xfId="0" applyFont="1" applyFill="1" applyBorder="1" applyAlignment="1" applyProtection="1">
      <alignment horizontal="left" vertical="center" wrapText="1" indent="1"/>
      <protection hidden="1"/>
    </xf>
    <xf numFmtId="0" fontId="18" fillId="13" borderId="15" xfId="0" applyFont="1" applyFill="1" applyBorder="1" applyAlignment="1" applyProtection="1">
      <alignment vertical="center"/>
      <protection locked="0" hidden="1"/>
    </xf>
    <xf numFmtId="168" fontId="1" fillId="0" borderId="0" xfId="0" applyNumberFormat="1" applyFont="1" applyFill="1" applyBorder="1" applyAlignment="1" applyProtection="1">
      <alignment vertical="center"/>
      <protection hidden="1"/>
    </xf>
    <xf numFmtId="14" fontId="1" fillId="0" borderId="0" xfId="0" applyNumberFormat="1" applyFont="1" applyFill="1" applyBorder="1" applyAlignment="1" applyProtection="1">
      <alignment vertical="center"/>
      <protection hidden="1"/>
    </xf>
    <xf numFmtId="0" fontId="36" fillId="15" borderId="99" xfId="0" applyFont="1" applyFill="1" applyBorder="1" applyAlignment="1" applyProtection="1">
      <alignment horizontal="center" vertical="center"/>
      <protection hidden="1"/>
    </xf>
    <xf numFmtId="0" fontId="36" fillId="15" borderId="101" xfId="0" applyFont="1" applyFill="1" applyBorder="1" applyAlignment="1" applyProtection="1">
      <alignment horizontal="center" vertical="center"/>
      <protection hidden="1"/>
    </xf>
    <xf numFmtId="0" fontId="36" fillId="16" borderId="99" xfId="0" applyFont="1" applyFill="1" applyBorder="1" applyAlignment="1" applyProtection="1">
      <alignment horizontal="center" vertical="center"/>
      <protection hidden="1"/>
    </xf>
    <xf numFmtId="0" fontId="36" fillId="16" borderId="101" xfId="0" applyFont="1" applyFill="1" applyBorder="1" applyAlignment="1" applyProtection="1">
      <alignment horizontal="center" vertical="center"/>
      <protection hidden="1"/>
    </xf>
    <xf numFmtId="0" fontId="3" fillId="11" borderId="99" xfId="0" applyFont="1" applyFill="1" applyBorder="1" applyAlignment="1" applyProtection="1">
      <alignment horizontal="center" vertical="center"/>
      <protection hidden="1"/>
    </xf>
    <xf numFmtId="0" fontId="3" fillId="11" borderId="101" xfId="0" applyFont="1" applyFill="1" applyBorder="1" applyAlignment="1" applyProtection="1">
      <alignment horizontal="center" vertical="center"/>
      <protection hidden="1"/>
    </xf>
    <xf numFmtId="0" fontId="36" fillId="0" borderId="0" xfId="0" applyFont="1" applyFill="1" applyBorder="1" applyAlignment="1" applyProtection="1">
      <alignment horizontal="justify" vertical="center" wrapText="1"/>
      <protection hidden="1"/>
    </xf>
    <xf numFmtId="177" fontId="30" fillId="3" borderId="1" xfId="0" applyNumberFormat="1" applyFont="1" applyFill="1" applyBorder="1" applyAlignment="1" applyProtection="1">
      <alignment horizontal="left" vertical="center" indent="1"/>
      <protection hidden="1"/>
    </xf>
    <xf numFmtId="177" fontId="30" fillId="3" borderId="2" xfId="0" applyNumberFormat="1" applyFont="1" applyFill="1" applyBorder="1" applyAlignment="1" applyProtection="1">
      <alignment horizontal="left" vertical="center" indent="1"/>
      <protection hidden="1"/>
    </xf>
    <xf numFmtId="0" fontId="31" fillId="3" borderId="2" xfId="0" applyFont="1" applyFill="1" applyBorder="1" applyAlignment="1" applyProtection="1">
      <alignment horizontal="center" vertical="center"/>
      <protection hidden="1"/>
    </xf>
    <xf numFmtId="0" fontId="31" fillId="3" borderId="13" xfId="0" applyFont="1" applyFill="1" applyBorder="1" applyAlignment="1" applyProtection="1">
      <alignment horizontal="center" vertical="center"/>
      <protection hidden="1"/>
    </xf>
    <xf numFmtId="173" fontId="30" fillId="3" borderId="6" xfId="0" applyNumberFormat="1" applyFont="1" applyFill="1" applyBorder="1" applyAlignment="1" applyProtection="1">
      <alignment horizontal="left" vertical="center" indent="1"/>
      <protection hidden="1"/>
    </xf>
    <xf numFmtId="173" fontId="30" fillId="3" borderId="13" xfId="0" applyNumberFormat="1" applyFont="1" applyFill="1" applyBorder="1" applyAlignment="1" applyProtection="1">
      <alignment horizontal="left" vertical="center" indent="1"/>
      <protection hidden="1"/>
    </xf>
    <xf numFmtId="0" fontId="93" fillId="17" borderId="119" xfId="0" applyFont="1" applyFill="1" applyBorder="1" applyAlignment="1" applyProtection="1">
      <alignment horizontal="center" vertical="center"/>
      <protection hidden="1"/>
    </xf>
    <xf numFmtId="0" fontId="2" fillId="19" borderId="149" xfId="0" applyFont="1" applyFill="1" applyBorder="1" applyAlignment="1" applyProtection="1">
      <alignment horizontal="center" vertical="center"/>
      <protection hidden="1"/>
    </xf>
    <xf numFmtId="0" fontId="2" fillId="19" borderId="150" xfId="0" applyFont="1" applyFill="1" applyBorder="1" applyAlignment="1" applyProtection="1">
      <alignment horizontal="center" vertical="center"/>
      <protection hidden="1"/>
    </xf>
    <xf numFmtId="0" fontId="2" fillId="19" borderId="159" xfId="0" applyFont="1" applyFill="1" applyBorder="1" applyAlignment="1" applyProtection="1">
      <alignment horizontal="center" vertical="center"/>
      <protection hidden="1"/>
    </xf>
    <xf numFmtId="0" fontId="2" fillId="19" borderId="160" xfId="0" applyFont="1" applyFill="1" applyBorder="1" applyAlignment="1" applyProtection="1">
      <alignment horizontal="center" vertical="center"/>
      <protection hidden="1"/>
    </xf>
    <xf numFmtId="0" fontId="1" fillId="0" borderId="160" xfId="0" applyFont="1" applyBorder="1" applyAlignment="1" applyProtection="1">
      <alignment horizontal="center" vertical="center"/>
      <protection hidden="1"/>
    </xf>
    <xf numFmtId="0" fontId="59" fillId="0" borderId="0" xfId="0" applyFont="1" applyFill="1" applyBorder="1" applyAlignment="1" applyProtection="1">
      <alignment horizontal="right" vertical="center"/>
      <protection hidden="1"/>
    </xf>
    <xf numFmtId="0" fontId="59" fillId="0" borderId="5" xfId="0" applyFont="1" applyFill="1" applyBorder="1" applyAlignment="1" applyProtection="1">
      <alignment horizontal="right" vertical="center"/>
      <protection hidden="1"/>
    </xf>
    <xf numFmtId="0" fontId="6" fillId="3" borderId="103" xfId="0" applyFont="1" applyFill="1" applyBorder="1" applyAlignment="1" applyProtection="1">
      <alignment horizontal="center" vertical="center"/>
      <protection hidden="1"/>
    </xf>
    <xf numFmtId="0" fontId="6" fillId="3" borderId="13" xfId="0" applyFont="1" applyFill="1" applyBorder="1" applyAlignment="1" applyProtection="1">
      <alignment horizontal="center" vertical="center"/>
      <protection hidden="1"/>
    </xf>
    <xf numFmtId="0" fontId="33" fillId="0" borderId="61" xfId="0" applyFont="1" applyFill="1" applyBorder="1" applyAlignment="1" applyProtection="1">
      <alignment vertical="center"/>
      <protection hidden="1"/>
    </xf>
    <xf numFmtId="0" fontId="90" fillId="0" borderId="0" xfId="0" applyFont="1" applyFill="1" applyBorder="1" applyAlignment="1" applyProtection="1">
      <alignment horizontal="left" vertical="center"/>
      <protection hidden="1"/>
    </xf>
    <xf numFmtId="196" fontId="11" fillId="0" borderId="0" xfId="0" applyNumberFormat="1" applyFont="1" applyFill="1" applyBorder="1" applyAlignment="1" applyProtection="1">
      <alignment horizontal="right" vertical="center"/>
      <protection hidden="1"/>
    </xf>
    <xf numFmtId="196" fontId="11" fillId="0" borderId="5" xfId="0" applyNumberFormat="1" applyFont="1" applyFill="1" applyBorder="1" applyAlignment="1" applyProtection="1">
      <alignment horizontal="right" vertical="center"/>
      <protection hidden="1"/>
    </xf>
    <xf numFmtId="168" fontId="1" fillId="0" borderId="98" xfId="0" applyNumberFormat="1" applyFont="1" applyFill="1" applyBorder="1" applyAlignment="1" applyProtection="1">
      <alignment horizontal="right" vertical="center"/>
      <protection locked="0"/>
    </xf>
    <xf numFmtId="0" fontId="93" fillId="17" borderId="98" xfId="0" applyFont="1" applyFill="1" applyBorder="1" applyAlignment="1" applyProtection="1">
      <alignment horizontal="center" vertical="center"/>
      <protection hidden="1"/>
    </xf>
    <xf numFmtId="0" fontId="61" fillId="0" borderId="61" xfId="0" applyFont="1" applyFill="1" applyBorder="1" applyAlignment="1" applyProtection="1">
      <alignment horizontal="right" vertical="top"/>
      <protection hidden="1"/>
    </xf>
    <xf numFmtId="0" fontId="59" fillId="0" borderId="0" xfId="0" applyNumberFormat="1" applyFont="1" applyFill="1" applyBorder="1" applyAlignment="1" applyProtection="1">
      <alignment horizontal="right" vertical="center"/>
      <protection hidden="1"/>
    </xf>
    <xf numFmtId="0" fontId="59" fillId="0" borderId="5" xfId="0" applyNumberFormat="1" applyFont="1" applyFill="1" applyBorder="1" applyAlignment="1" applyProtection="1">
      <alignment horizontal="right" vertical="center"/>
      <protection hidden="1"/>
    </xf>
    <xf numFmtId="168" fontId="3" fillId="16" borderId="53" xfId="0" applyNumberFormat="1" applyFont="1" applyFill="1" applyBorder="1" applyAlignment="1" applyProtection="1">
      <alignment horizontal="right" vertical="center"/>
      <protection locked="0"/>
    </xf>
    <xf numFmtId="168" fontId="3" fillId="11" borderId="53" xfId="0" applyNumberFormat="1" applyFont="1" applyFill="1" applyBorder="1" applyAlignment="1" applyProtection="1">
      <alignment horizontal="right" vertical="center"/>
      <protection locked="0"/>
    </xf>
    <xf numFmtId="199" fontId="11" fillId="0" borderId="61" xfId="0" applyNumberFormat="1" applyFont="1" applyFill="1" applyBorder="1" applyAlignment="1" applyProtection="1">
      <alignment horizontal="right" vertical="top"/>
      <protection hidden="1"/>
    </xf>
    <xf numFmtId="168" fontId="1" fillId="11" borderId="98" xfId="0" applyNumberFormat="1" applyFont="1" applyFill="1" applyBorder="1" applyAlignment="1" applyProtection="1">
      <alignment horizontal="right" vertical="center"/>
      <protection locked="0"/>
    </xf>
    <xf numFmtId="168" fontId="2" fillId="11" borderId="12" xfId="0" applyNumberFormat="1" applyFont="1" applyFill="1" applyBorder="1" applyAlignment="1" applyProtection="1">
      <alignment horizontal="right" vertical="center"/>
      <protection hidden="1"/>
    </xf>
    <xf numFmtId="0" fontId="2" fillId="0" borderId="163" xfId="0" applyFont="1" applyBorder="1" applyAlignment="1" applyProtection="1">
      <alignment horizontal="center" vertical="center"/>
      <protection hidden="1"/>
    </xf>
    <xf numFmtId="0" fontId="2" fillId="0" borderId="159" xfId="0" applyFont="1" applyBorder="1" applyAlignment="1" applyProtection="1">
      <alignment horizontal="center" vertical="center"/>
      <protection hidden="1"/>
    </xf>
    <xf numFmtId="0" fontId="37" fillId="0" borderId="0" xfId="0" applyFont="1" applyFill="1" applyBorder="1" applyAlignment="1" applyProtection="1">
      <alignment horizontal="right" vertical="center"/>
      <protection hidden="1"/>
    </xf>
    <xf numFmtId="168" fontId="2" fillId="11" borderId="59" xfId="0" applyNumberFormat="1" applyFont="1" applyFill="1" applyBorder="1" applyAlignment="1" applyProtection="1">
      <alignment vertical="center"/>
      <protection hidden="1"/>
    </xf>
    <xf numFmtId="168" fontId="3" fillId="0" borderId="41" xfId="0" applyNumberFormat="1" applyFont="1" applyFill="1" applyBorder="1" applyAlignment="1" applyProtection="1">
      <alignment horizontal="right" vertical="center"/>
      <protection hidden="1"/>
    </xf>
    <xf numFmtId="168" fontId="3" fillId="0" borderId="42" xfId="0" applyNumberFormat="1" applyFont="1" applyFill="1" applyBorder="1" applyAlignment="1" applyProtection="1">
      <alignment horizontal="right" vertical="center"/>
      <protection hidden="1"/>
    </xf>
    <xf numFmtId="196" fontId="13" fillId="0" borderId="0" xfId="0" applyNumberFormat="1" applyFont="1" applyFill="1" applyBorder="1" applyAlignment="1" applyProtection="1">
      <alignment horizontal="right" vertical="center"/>
      <protection hidden="1"/>
    </xf>
    <xf numFmtId="196" fontId="13" fillId="0" borderId="5" xfId="0" applyNumberFormat="1" applyFont="1" applyFill="1" applyBorder="1" applyAlignment="1" applyProtection="1">
      <alignment horizontal="right" vertical="center"/>
      <protection hidden="1"/>
    </xf>
    <xf numFmtId="196" fontId="16" fillId="0" borderId="0" xfId="0" applyNumberFormat="1" applyFont="1" applyFill="1" applyBorder="1" applyAlignment="1" applyProtection="1">
      <alignment horizontal="right" vertical="center"/>
      <protection hidden="1"/>
    </xf>
    <xf numFmtId="176" fontId="13" fillId="0" borderId="50" xfId="0" applyNumberFormat="1" applyFont="1" applyFill="1" applyBorder="1" applyAlignment="1" applyProtection="1">
      <alignment horizontal="right" vertical="center"/>
      <protection hidden="1"/>
    </xf>
    <xf numFmtId="176" fontId="13" fillId="0" borderId="0" xfId="0" applyNumberFormat="1" applyFont="1" applyFill="1" applyBorder="1" applyAlignment="1" applyProtection="1">
      <alignment horizontal="right" vertical="center"/>
      <protection hidden="1"/>
    </xf>
    <xf numFmtId="176" fontId="16" fillId="0" borderId="0" xfId="0" applyNumberFormat="1" applyFont="1" applyFill="1" applyBorder="1" applyAlignment="1" applyProtection="1">
      <alignment horizontal="right" vertical="center"/>
      <protection hidden="1"/>
    </xf>
    <xf numFmtId="8" fontId="1" fillId="0" borderId="99" xfId="0" applyNumberFormat="1" applyFont="1" applyFill="1" applyBorder="1" applyAlignment="1" applyProtection="1">
      <alignment vertical="center"/>
      <protection locked="0"/>
    </xf>
    <xf numFmtId="8" fontId="1" fillId="0" borderId="100" xfId="0" applyNumberFormat="1" applyFont="1" applyFill="1" applyBorder="1" applyAlignment="1" applyProtection="1">
      <alignment vertical="center"/>
      <protection locked="0"/>
    </xf>
    <xf numFmtId="8" fontId="1" fillId="0" borderId="101" xfId="0" applyNumberFormat="1" applyFont="1" applyFill="1" applyBorder="1" applyAlignment="1" applyProtection="1">
      <alignment vertical="center"/>
      <protection locked="0"/>
    </xf>
    <xf numFmtId="0" fontId="77" fillId="0" borderId="0" xfId="0" applyFont="1" applyFill="1" applyAlignment="1" applyProtection="1">
      <alignment horizontal="justify" vertical="center" wrapText="1"/>
      <protection hidden="1"/>
    </xf>
    <xf numFmtId="0" fontId="0" fillId="0" borderId="0" xfId="0" applyFill="1" applyAlignment="1">
      <alignment horizontal="justify" vertical="center" wrapText="1"/>
    </xf>
    <xf numFmtId="168" fontId="1" fillId="0" borderId="0" xfId="0" applyNumberFormat="1" applyFont="1" applyFill="1" applyBorder="1" applyAlignment="1" applyProtection="1">
      <alignment horizontal="right" vertical="center"/>
      <protection hidden="1"/>
    </xf>
    <xf numFmtId="168" fontId="20" fillId="0" borderId="108" xfId="0" applyNumberFormat="1" applyFont="1" applyFill="1" applyBorder="1" applyAlignment="1" applyProtection="1">
      <alignment horizontal="right" vertical="center"/>
      <protection locked="0"/>
    </xf>
    <xf numFmtId="168" fontId="20" fillId="0" borderId="114" xfId="0" applyNumberFormat="1" applyFont="1" applyFill="1" applyBorder="1" applyAlignment="1" applyProtection="1">
      <alignment horizontal="right" vertical="center"/>
      <protection locked="0"/>
    </xf>
    <xf numFmtId="168" fontId="20" fillId="0" borderId="109" xfId="0" applyNumberFormat="1" applyFont="1" applyFill="1" applyBorder="1" applyAlignment="1" applyProtection="1">
      <alignment horizontal="right" vertical="center"/>
      <protection locked="0"/>
    </xf>
    <xf numFmtId="8" fontId="1" fillId="0" borderId="0" xfId="0" applyNumberFormat="1" applyFont="1" applyAlignment="1" applyProtection="1">
      <alignment horizontal="right" vertical="center"/>
      <protection hidden="1"/>
    </xf>
    <xf numFmtId="0" fontId="1" fillId="0" borderId="98" xfId="0" applyFont="1" applyFill="1" applyBorder="1" applyAlignment="1" applyProtection="1">
      <alignment horizontal="right" vertical="center" indent="1"/>
      <protection locked="0"/>
    </xf>
    <xf numFmtId="0" fontId="0" fillId="0" borderId="98" xfId="0" applyFill="1" applyBorder="1" applyAlignment="1" applyProtection="1">
      <alignment horizontal="right" vertical="center" indent="1"/>
      <protection locked="0"/>
    </xf>
    <xf numFmtId="0" fontId="20" fillId="0" borderId="0" xfId="0" applyFont="1" applyFill="1" applyBorder="1" applyAlignment="1" applyProtection="1">
      <alignment horizontal="right" vertical="top" indent="1"/>
      <protection hidden="1"/>
    </xf>
    <xf numFmtId="0" fontId="20" fillId="0" borderId="5" xfId="0" applyFont="1" applyFill="1" applyBorder="1" applyAlignment="1" applyProtection="1">
      <alignment horizontal="right" vertical="top" indent="1"/>
      <protection hidden="1"/>
    </xf>
    <xf numFmtId="0" fontId="1" fillId="0" borderId="0" xfId="0" applyFont="1" applyFill="1" applyBorder="1" applyAlignment="1" applyProtection="1">
      <alignment horizontal="left" vertical="center"/>
      <protection hidden="1"/>
    </xf>
    <xf numFmtId="0" fontId="1" fillId="0" borderId="5" xfId="0" applyFont="1" applyFill="1" applyBorder="1" applyAlignment="1" applyProtection="1">
      <alignment horizontal="left" vertical="center"/>
      <protection hidden="1"/>
    </xf>
    <xf numFmtId="14" fontId="1" fillId="0" borderId="99" xfId="0" applyNumberFormat="1" applyFont="1" applyFill="1" applyBorder="1" applyAlignment="1" applyProtection="1">
      <alignment horizontal="right" vertical="center" indent="1"/>
      <protection locked="0"/>
    </xf>
    <xf numFmtId="14" fontId="1" fillId="0" borderId="100" xfId="0" applyNumberFormat="1" applyFont="1" applyFill="1" applyBorder="1" applyAlignment="1" applyProtection="1">
      <alignment horizontal="right" vertical="center" indent="1"/>
      <protection locked="0"/>
    </xf>
    <xf numFmtId="0" fontId="0" fillId="0" borderId="101" xfId="0" applyFill="1" applyBorder="1" applyAlignment="1" applyProtection="1">
      <alignment horizontal="right" vertical="center" indent="1"/>
      <protection locked="0"/>
    </xf>
    <xf numFmtId="8" fontId="2" fillId="18" borderId="103" xfId="0" applyNumberFormat="1" applyFont="1" applyFill="1" applyBorder="1" applyAlignment="1" applyProtection="1">
      <alignment horizontal="right" vertical="center"/>
      <protection hidden="1"/>
    </xf>
    <xf numFmtId="8" fontId="2" fillId="18" borderId="79" xfId="0" applyNumberFormat="1" applyFont="1" applyFill="1" applyBorder="1" applyAlignment="1" applyProtection="1">
      <alignment horizontal="right" vertical="center"/>
      <protection hidden="1"/>
    </xf>
    <xf numFmtId="8" fontId="2" fillId="18" borderId="0" xfId="0" applyNumberFormat="1" applyFont="1" applyFill="1" applyBorder="1" applyAlignment="1" applyProtection="1">
      <alignment horizontal="right" vertical="center"/>
      <protection hidden="1"/>
    </xf>
    <xf numFmtId="8" fontId="2" fillId="18" borderId="5" xfId="0" applyNumberFormat="1" applyFont="1" applyFill="1" applyBorder="1" applyAlignment="1" applyProtection="1">
      <alignment horizontal="right" vertical="center"/>
      <protection hidden="1"/>
    </xf>
    <xf numFmtId="0" fontId="0" fillId="0" borderId="13" xfId="0" applyBorder="1" applyAlignment="1">
      <alignment horizontal="right" vertical="center"/>
    </xf>
    <xf numFmtId="0" fontId="0" fillId="0" borderId="14" xfId="0" applyBorder="1" applyAlignment="1">
      <alignment horizontal="right" vertical="center"/>
    </xf>
    <xf numFmtId="8" fontId="1" fillId="0" borderId="99" xfId="0" applyNumberFormat="1" applyFont="1" applyFill="1" applyBorder="1" applyAlignment="1" applyProtection="1">
      <alignment horizontal="right" vertical="center"/>
      <protection locked="0"/>
    </xf>
    <xf numFmtId="8" fontId="1" fillId="0" borderId="100" xfId="0" applyNumberFormat="1" applyFont="1" applyFill="1" applyBorder="1" applyAlignment="1" applyProtection="1">
      <alignment horizontal="right" vertical="center"/>
      <protection locked="0"/>
    </xf>
    <xf numFmtId="8" fontId="1" fillId="0" borderId="101" xfId="0" applyNumberFormat="1" applyFont="1" applyFill="1" applyBorder="1" applyAlignment="1" applyProtection="1">
      <alignment horizontal="right" vertical="center"/>
      <protection locked="0"/>
    </xf>
    <xf numFmtId="168" fontId="23" fillId="0" borderId="12" xfId="0" applyNumberFormat="1" applyFont="1" applyFill="1" applyBorder="1" applyAlignment="1" applyProtection="1">
      <alignment horizontal="right" vertical="center"/>
      <protection hidden="1"/>
    </xf>
    <xf numFmtId="7" fontId="2" fillId="0" borderId="160" xfId="0" applyNumberFormat="1" applyFont="1" applyFill="1" applyBorder="1" applyAlignment="1" applyProtection="1">
      <alignment horizontal="right" vertical="center"/>
      <protection hidden="1"/>
    </xf>
    <xf numFmtId="0" fontId="1" fillId="0" borderId="0" xfId="0" applyFont="1" applyFill="1" applyBorder="1" applyAlignment="1" applyProtection="1">
      <alignment vertical="center"/>
      <protection hidden="1"/>
    </xf>
    <xf numFmtId="168" fontId="1" fillId="0" borderId="0" xfId="0" applyNumberFormat="1" applyFont="1" applyFill="1" applyBorder="1" applyAlignment="1" applyProtection="1">
      <alignment vertical="center"/>
      <protection hidden="1"/>
    </xf>
    <xf numFmtId="0" fontId="2" fillId="0" borderId="61" xfId="0" applyFont="1" applyFill="1" applyBorder="1" applyAlignment="1" applyProtection="1">
      <alignment horizontal="right" vertical="center"/>
      <protection hidden="1"/>
    </xf>
    <xf numFmtId="168" fontId="2" fillId="0" borderId="59" xfId="0" applyNumberFormat="1" applyFont="1" applyFill="1" applyBorder="1" applyAlignment="1" applyProtection="1">
      <alignment vertical="center"/>
      <protection hidden="1"/>
    </xf>
    <xf numFmtId="8" fontId="2" fillId="11" borderId="59" xfId="0" applyNumberFormat="1" applyFont="1" applyFill="1" applyBorder="1" applyAlignment="1" applyProtection="1">
      <alignment vertical="center"/>
      <protection hidden="1"/>
    </xf>
    <xf numFmtId="8" fontId="1" fillId="0" borderId="0" xfId="0" applyNumberFormat="1" applyFont="1" applyFill="1" applyBorder="1" applyAlignment="1" applyProtection="1">
      <alignment vertical="center"/>
      <protection locked="0"/>
    </xf>
    <xf numFmtId="197" fontId="11" fillId="0" borderId="0" xfId="0" applyNumberFormat="1" applyFont="1" applyFill="1" applyBorder="1" applyAlignment="1" applyProtection="1">
      <alignment horizontal="right" vertical="center"/>
      <protection locked="0"/>
    </xf>
    <xf numFmtId="196" fontId="12" fillId="0" borderId="0" xfId="0" applyNumberFormat="1" applyFont="1" applyFill="1" applyBorder="1" applyAlignment="1" applyProtection="1">
      <alignment horizontal="right" vertical="center"/>
      <protection hidden="1"/>
    </xf>
    <xf numFmtId="197" fontId="11" fillId="0" borderId="0" xfId="0" applyNumberFormat="1" applyFont="1" applyFill="1" applyBorder="1" applyAlignment="1" applyProtection="1">
      <alignment horizontal="right" vertical="center"/>
      <protection hidden="1"/>
    </xf>
    <xf numFmtId="8" fontId="20" fillId="0" borderId="0" xfId="0" applyNumberFormat="1" applyFont="1" applyFill="1" applyBorder="1" applyAlignment="1" applyProtection="1">
      <alignment horizontal="right" vertical="center"/>
      <protection hidden="1"/>
    </xf>
    <xf numFmtId="168" fontId="1" fillId="0" borderId="13" xfId="0" applyNumberFormat="1" applyFont="1" applyFill="1" applyBorder="1" applyAlignment="1" applyProtection="1">
      <alignment horizontal="right" vertical="center"/>
      <protection hidden="1"/>
    </xf>
    <xf numFmtId="197" fontId="12" fillId="0" borderId="0" xfId="0" applyNumberFormat="1" applyFont="1" applyFill="1" applyBorder="1" applyAlignment="1" applyProtection="1">
      <alignment horizontal="right" vertical="center"/>
      <protection hidden="1"/>
    </xf>
    <xf numFmtId="0" fontId="11" fillId="0" borderId="148" xfId="0" applyFont="1" applyFill="1" applyBorder="1" applyAlignment="1" applyProtection="1">
      <alignment horizontal="left" vertical="center"/>
      <protection locked="0"/>
    </xf>
    <xf numFmtId="0" fontId="1" fillId="0" borderId="103" xfId="0" applyFont="1" applyFill="1" applyBorder="1" applyAlignment="1" applyProtection="1">
      <alignment horizontal="left" vertical="center"/>
      <protection hidden="1"/>
    </xf>
    <xf numFmtId="197" fontId="11" fillId="0" borderId="50" xfId="0" applyNumberFormat="1" applyFont="1" applyFill="1" applyBorder="1" applyAlignment="1" applyProtection="1">
      <alignment horizontal="right" vertical="center"/>
      <protection locked="0"/>
    </xf>
    <xf numFmtId="197" fontId="11" fillId="0" borderId="5" xfId="0" applyNumberFormat="1" applyFont="1" applyFill="1" applyBorder="1" applyAlignment="1" applyProtection="1">
      <alignment horizontal="right" vertical="center"/>
      <protection locked="0"/>
    </xf>
    <xf numFmtId="8" fontId="1" fillId="0" borderId="53" xfId="0" applyNumberFormat="1" applyFont="1" applyFill="1" applyBorder="1" applyAlignment="1" applyProtection="1">
      <alignment vertical="center"/>
      <protection locked="0"/>
    </xf>
    <xf numFmtId="168" fontId="3" fillId="11" borderId="38" xfId="0" applyNumberFormat="1" applyFont="1" applyFill="1" applyBorder="1" applyAlignment="1" applyProtection="1">
      <alignment horizontal="right" vertical="center"/>
      <protection locked="0"/>
    </xf>
    <xf numFmtId="168" fontId="3" fillId="11" borderId="40" xfId="0" applyNumberFormat="1" applyFont="1" applyFill="1" applyBorder="1" applyAlignment="1" applyProtection="1">
      <alignment horizontal="right" vertical="center"/>
      <protection locked="0"/>
    </xf>
    <xf numFmtId="168" fontId="3" fillId="11" borderId="39" xfId="0" applyNumberFormat="1" applyFont="1" applyFill="1" applyBorder="1" applyAlignment="1" applyProtection="1">
      <alignment horizontal="right" vertical="center"/>
      <protection locked="0"/>
    </xf>
    <xf numFmtId="8" fontId="1" fillId="11" borderId="0" xfId="0" applyNumberFormat="1" applyFont="1" applyFill="1" applyBorder="1" applyAlignment="1" applyProtection="1">
      <alignment vertical="center"/>
      <protection locked="0"/>
    </xf>
    <xf numFmtId="8" fontId="1" fillId="0" borderId="103" xfId="0" applyNumberFormat="1" applyFont="1" applyFill="1" applyBorder="1" applyAlignment="1" applyProtection="1">
      <alignment vertical="center"/>
      <protection hidden="1"/>
    </xf>
    <xf numFmtId="0" fontId="33" fillId="0" borderId="61" xfId="0" applyFont="1" applyFill="1" applyBorder="1" applyAlignment="1" applyProtection="1">
      <alignment horizontal="center" vertical="center"/>
      <protection hidden="1"/>
    </xf>
    <xf numFmtId="0" fontId="1" fillId="0" borderId="0" xfId="0" applyFont="1" applyFill="1" applyBorder="1" applyAlignment="1" applyProtection="1">
      <alignment horizontal="left" vertical="center"/>
      <protection locked="0"/>
    </xf>
    <xf numFmtId="0" fontId="1" fillId="0" borderId="5" xfId="0" applyFont="1" applyFill="1" applyBorder="1" applyAlignment="1" applyProtection="1">
      <alignment horizontal="left" vertical="center"/>
      <protection locked="0"/>
    </xf>
    <xf numFmtId="169" fontId="3" fillId="0" borderId="53" xfId="0" applyNumberFormat="1" applyFont="1" applyFill="1" applyBorder="1" applyAlignment="1" applyProtection="1">
      <alignment horizontal="right" vertical="center"/>
      <protection hidden="1"/>
    </xf>
    <xf numFmtId="0" fontId="1" fillId="0" borderId="0" xfId="0" applyFont="1" applyFill="1" applyBorder="1" applyAlignment="1" applyProtection="1">
      <alignment horizontal="right" vertical="center" indent="1"/>
      <protection hidden="1"/>
    </xf>
    <xf numFmtId="0" fontId="1" fillId="0" borderId="5" xfId="0" applyFont="1" applyFill="1" applyBorder="1" applyAlignment="1" applyProtection="1">
      <alignment horizontal="right" vertical="center" indent="1"/>
      <protection hidden="1"/>
    </xf>
    <xf numFmtId="169" fontId="3" fillId="0" borderId="53" xfId="0" applyNumberFormat="1" applyFont="1" applyFill="1" applyBorder="1" applyAlignment="1" applyProtection="1">
      <alignment horizontal="right" vertical="center"/>
      <protection locked="0"/>
    </xf>
    <xf numFmtId="168" fontId="1" fillId="0" borderId="53" xfId="0" applyNumberFormat="1" applyFont="1" applyFill="1" applyBorder="1" applyAlignment="1" applyProtection="1">
      <alignment vertical="center"/>
      <protection hidden="1"/>
    </xf>
    <xf numFmtId="168" fontId="3" fillId="0" borderId="15" xfId="0" applyNumberFormat="1" applyFont="1" applyFill="1" applyBorder="1" applyAlignment="1" applyProtection="1">
      <alignment horizontal="right" vertical="center"/>
      <protection hidden="1"/>
    </xf>
    <xf numFmtId="168" fontId="8" fillId="0" borderId="12" xfId="0" applyNumberFormat="1" applyFont="1" applyFill="1" applyBorder="1" applyAlignment="1" applyProtection="1">
      <alignment horizontal="right" vertical="center"/>
      <protection hidden="1"/>
    </xf>
    <xf numFmtId="0" fontId="60" fillId="0" borderId="0" xfId="0" applyFont="1" applyAlignment="1" applyProtection="1">
      <alignment horizontal="justify" vertical="top" wrapText="1"/>
      <protection hidden="1"/>
    </xf>
    <xf numFmtId="0" fontId="58" fillId="0" borderId="0" xfId="0" applyFont="1" applyFill="1" applyBorder="1" applyAlignment="1" applyProtection="1">
      <alignment horizontal="right" vertical="top" wrapText="1" indent="1"/>
      <protection hidden="1"/>
    </xf>
    <xf numFmtId="0" fontId="68" fillId="0" borderId="0" xfId="0" applyFont="1" applyFill="1" applyBorder="1" applyAlignment="1" applyProtection="1">
      <alignment horizontal="right" vertical="center" wrapText="1" indent="1"/>
      <protection hidden="1"/>
    </xf>
    <xf numFmtId="0" fontId="77" fillId="0" borderId="0" xfId="0" applyFont="1" applyAlignment="1" applyProtection="1">
      <alignment horizontal="justify" vertical="center" wrapText="1"/>
      <protection hidden="1"/>
    </xf>
    <xf numFmtId="0" fontId="98" fillId="0" borderId="0" xfId="0" applyFont="1" applyAlignment="1">
      <alignment horizontal="justify" vertical="center" wrapText="1"/>
    </xf>
    <xf numFmtId="0" fontId="2" fillId="0" borderId="61" xfId="0" applyFont="1" applyFill="1" applyBorder="1" applyAlignment="1" applyProtection="1">
      <alignment horizontal="left" vertical="center"/>
      <protection hidden="1"/>
    </xf>
    <xf numFmtId="14" fontId="1" fillId="0" borderId="13" xfId="0" applyNumberFormat="1" applyFont="1" applyFill="1" applyBorder="1" applyAlignment="1" applyProtection="1">
      <alignment horizontal="left" vertical="center"/>
      <protection locked="0"/>
    </xf>
    <xf numFmtId="0" fontId="77" fillId="0" borderId="0" xfId="0" applyFont="1" applyFill="1" applyBorder="1" applyAlignment="1" applyProtection="1">
      <alignment horizontal="justify" vertical="center" wrapText="1"/>
      <protection hidden="1"/>
    </xf>
    <xf numFmtId="0" fontId="7" fillId="3" borderId="1" xfId="0" applyFont="1" applyFill="1" applyBorder="1" applyAlignment="1" applyProtection="1">
      <alignment horizontal="left" vertical="center" indent="1"/>
      <protection hidden="1"/>
    </xf>
    <xf numFmtId="0" fontId="7" fillId="3" borderId="2" xfId="0" applyFont="1" applyFill="1" applyBorder="1" applyAlignment="1" applyProtection="1">
      <alignment horizontal="left" vertical="center" indent="1"/>
      <protection hidden="1"/>
    </xf>
    <xf numFmtId="173" fontId="7" fillId="3" borderId="6" xfId="0" applyNumberFormat="1" applyFont="1" applyFill="1" applyBorder="1" applyAlignment="1" applyProtection="1">
      <alignment horizontal="left" vertical="center" indent="1"/>
      <protection hidden="1"/>
    </xf>
    <xf numFmtId="173" fontId="7" fillId="3" borderId="7" xfId="0" applyNumberFormat="1" applyFont="1" applyFill="1" applyBorder="1" applyAlignment="1" applyProtection="1">
      <alignment horizontal="left" vertical="center" indent="1"/>
      <protection hidden="1"/>
    </xf>
    <xf numFmtId="8" fontId="2" fillId="18" borderId="13" xfId="0" applyNumberFormat="1" applyFont="1" applyFill="1" applyBorder="1" applyAlignment="1" applyProtection="1">
      <alignment horizontal="right" vertical="center"/>
      <protection hidden="1"/>
    </xf>
    <xf numFmtId="8" fontId="2" fillId="18" borderId="14" xfId="0" applyNumberFormat="1" applyFont="1" applyFill="1" applyBorder="1" applyAlignment="1" applyProtection="1">
      <alignment horizontal="right" vertical="center"/>
      <protection hidden="1"/>
    </xf>
    <xf numFmtId="0" fontId="2" fillId="18" borderId="104" xfId="0" applyFont="1" applyFill="1" applyBorder="1" applyAlignment="1" applyProtection="1">
      <alignment horizontal="left" vertical="center" indent="1"/>
      <protection hidden="1"/>
    </xf>
    <xf numFmtId="0" fontId="73" fillId="18" borderId="103" xfId="0" applyFont="1" applyFill="1" applyBorder="1" applyAlignment="1">
      <alignment horizontal="left" vertical="center" indent="1"/>
    </xf>
    <xf numFmtId="0" fontId="2" fillId="18" borderId="50" xfId="0" applyFont="1" applyFill="1" applyBorder="1" applyAlignment="1" applyProtection="1">
      <alignment horizontal="left" vertical="center" indent="1"/>
      <protection hidden="1"/>
    </xf>
    <xf numFmtId="0" fontId="73" fillId="18" borderId="0" xfId="0" applyFont="1" applyFill="1" applyBorder="1" applyAlignment="1">
      <alignment horizontal="left" vertical="center" indent="1"/>
    </xf>
    <xf numFmtId="0" fontId="73" fillId="18" borderId="6" xfId="0" applyFont="1" applyFill="1" applyBorder="1" applyAlignment="1">
      <alignment horizontal="left" vertical="center" indent="1"/>
    </xf>
    <xf numFmtId="0" fontId="73" fillId="18" borderId="13" xfId="0" applyFont="1" applyFill="1" applyBorder="1" applyAlignment="1">
      <alignment horizontal="left" vertical="center" indent="1"/>
    </xf>
    <xf numFmtId="166" fontId="1" fillId="0" borderId="53" xfId="0" applyNumberFormat="1" applyFont="1" applyFill="1" applyBorder="1" applyAlignment="1" applyProtection="1">
      <alignment horizontal="right" vertical="center" indent="1"/>
      <protection locked="0"/>
    </xf>
    <xf numFmtId="181" fontId="1" fillId="0" borderId="53" xfId="0" applyNumberFormat="1" applyFont="1" applyFill="1" applyBorder="1" applyAlignment="1" applyProtection="1">
      <alignment horizontal="right" vertical="center" indent="1"/>
      <protection locked="0"/>
    </xf>
    <xf numFmtId="182" fontId="1" fillId="0" borderId="53" xfId="0" applyNumberFormat="1" applyFont="1" applyFill="1" applyBorder="1" applyAlignment="1" applyProtection="1">
      <alignment horizontal="right" vertical="center" indent="1"/>
      <protection locked="0"/>
    </xf>
    <xf numFmtId="0" fontId="61" fillId="0" borderId="0" xfId="0" applyFont="1" applyFill="1" applyBorder="1" applyAlignment="1" applyProtection="1">
      <alignment horizontal="left" vertical="top" wrapText="1"/>
      <protection hidden="1"/>
    </xf>
    <xf numFmtId="0" fontId="1" fillId="0" borderId="0" xfId="0" applyFont="1" applyFill="1" applyBorder="1" applyAlignment="1" applyProtection="1">
      <alignment horizontal="center" vertical="center"/>
      <protection locked="0"/>
    </xf>
    <xf numFmtId="49" fontId="1" fillId="0" borderId="98" xfId="0" applyNumberFormat="1" applyFont="1" applyFill="1" applyBorder="1" applyAlignment="1" applyProtection="1">
      <alignment horizontal="center" vertical="center"/>
      <protection locked="0"/>
    </xf>
    <xf numFmtId="0" fontId="1" fillId="0" borderId="98" xfId="0" applyFont="1" applyFill="1" applyBorder="1" applyAlignment="1" applyProtection="1">
      <alignment horizontal="left" vertical="center" indent="1"/>
      <protection locked="0"/>
    </xf>
    <xf numFmtId="200" fontId="20" fillId="0" borderId="0" xfId="0" applyNumberFormat="1" applyFont="1" applyFill="1" applyBorder="1" applyAlignment="1" applyProtection="1">
      <alignment horizontal="right" vertical="center" wrapText="1"/>
      <protection hidden="1"/>
    </xf>
    <xf numFmtId="200" fontId="20" fillId="0" borderId="149" xfId="0" applyNumberFormat="1" applyFont="1" applyFill="1" applyBorder="1" applyAlignment="1" applyProtection="1">
      <alignment horizontal="right" vertical="center" wrapText="1"/>
      <protection locked="0"/>
    </xf>
    <xf numFmtId="200" fontId="20" fillId="0" borderId="159" xfId="0" applyNumberFormat="1" applyFont="1" applyFill="1" applyBorder="1" applyAlignment="1" applyProtection="1">
      <alignment horizontal="right" vertical="center" wrapText="1"/>
      <protection locked="0"/>
    </xf>
    <xf numFmtId="8" fontId="2" fillId="0" borderId="12" xfId="0" applyNumberFormat="1" applyFont="1" applyFill="1" applyBorder="1" applyAlignment="1" applyProtection="1">
      <alignment vertical="center"/>
      <protection hidden="1"/>
    </xf>
    <xf numFmtId="168" fontId="3" fillId="0" borderId="54" xfId="0" applyNumberFormat="1" applyFont="1" applyFill="1" applyBorder="1" applyAlignment="1" applyProtection="1">
      <alignment horizontal="right" vertical="center"/>
      <protection hidden="1"/>
    </xf>
    <xf numFmtId="168" fontId="3" fillId="0" borderId="58" xfId="0" applyNumberFormat="1" applyFont="1" applyFill="1" applyBorder="1" applyAlignment="1" applyProtection="1">
      <alignment horizontal="right" vertical="center"/>
      <protection hidden="1"/>
    </xf>
    <xf numFmtId="168" fontId="3" fillId="0" borderId="55" xfId="0" applyNumberFormat="1" applyFont="1" applyFill="1" applyBorder="1" applyAlignment="1" applyProtection="1">
      <alignment horizontal="right" vertical="center"/>
      <protection hidden="1"/>
    </xf>
    <xf numFmtId="168" fontId="2" fillId="0" borderId="12" xfId="0" applyNumberFormat="1" applyFont="1" applyFill="1" applyBorder="1" applyAlignment="1" applyProtection="1">
      <alignment horizontal="right" vertical="center"/>
      <protection hidden="1"/>
    </xf>
    <xf numFmtId="168" fontId="3" fillId="0" borderId="0" xfId="0" applyNumberFormat="1" applyFont="1" applyFill="1" applyBorder="1" applyAlignment="1" applyProtection="1">
      <alignment horizontal="right" vertical="center"/>
      <protection hidden="1"/>
    </xf>
    <xf numFmtId="0" fontId="54" fillId="0" borderId="0" xfId="0" applyFont="1" applyFill="1" applyBorder="1" applyAlignment="1" applyProtection="1">
      <alignment horizontal="center" vertical="top" wrapText="1"/>
      <protection hidden="1"/>
    </xf>
    <xf numFmtId="168" fontId="8" fillId="0" borderId="0" xfId="0" applyNumberFormat="1" applyFont="1" applyFill="1" applyBorder="1" applyAlignment="1" applyProtection="1">
      <alignment horizontal="right" vertical="center"/>
      <protection hidden="1"/>
    </xf>
    <xf numFmtId="0" fontId="11" fillId="0" borderId="0" xfId="0" applyFont="1" applyFill="1" applyBorder="1" applyAlignment="1" applyProtection="1">
      <alignment vertical="center" wrapText="1"/>
      <protection hidden="1"/>
    </xf>
    <xf numFmtId="0" fontId="11" fillId="0" borderId="0" xfId="0" applyFont="1" applyAlignment="1">
      <alignment vertical="center" wrapText="1"/>
    </xf>
    <xf numFmtId="0" fontId="93" fillId="17" borderId="160" xfId="0" applyFont="1" applyFill="1" applyBorder="1" applyAlignment="1" applyProtection="1">
      <alignment horizontal="center" vertical="center"/>
      <protection hidden="1"/>
    </xf>
    <xf numFmtId="0" fontId="94" fillId="0" borderId="13" xfId="0" applyFont="1" applyBorder="1" applyAlignment="1" applyProtection="1">
      <alignment horizontal="center" vertical="center"/>
      <protection hidden="1"/>
    </xf>
    <xf numFmtId="0" fontId="1" fillId="0" borderId="113" xfId="0" applyFont="1" applyBorder="1" applyAlignment="1" applyProtection="1">
      <alignment horizontal="left" vertical="center" indent="1"/>
      <protection hidden="1"/>
    </xf>
    <xf numFmtId="0" fontId="1" fillId="0" borderId="113" xfId="0" applyFont="1" applyBorder="1" applyAlignment="1" applyProtection="1">
      <alignment horizontal="left" vertical="center" wrapText="1" indent="1"/>
      <protection hidden="1"/>
    </xf>
    <xf numFmtId="0" fontId="93" fillId="17" borderId="113" xfId="0" applyFont="1" applyFill="1" applyBorder="1" applyAlignment="1" applyProtection="1">
      <alignment horizontal="center" vertical="center"/>
      <protection hidden="1"/>
    </xf>
    <xf numFmtId="0" fontId="20" fillId="0" borderId="0" xfId="0" applyFont="1" applyFill="1" applyBorder="1" applyAlignment="1" applyProtection="1">
      <alignment horizontal="right" vertical="center" indent="1"/>
      <protection hidden="1"/>
    </xf>
    <xf numFmtId="0" fontId="20" fillId="0" borderId="5" xfId="0" applyFont="1" applyFill="1" applyBorder="1" applyAlignment="1" applyProtection="1">
      <alignment horizontal="right" vertical="center" indent="1"/>
      <protection hidden="1"/>
    </xf>
    <xf numFmtId="0" fontId="23" fillId="0" borderId="0" xfId="0" applyFont="1" applyFill="1" applyBorder="1" applyAlignment="1" applyProtection="1">
      <alignment horizontal="right" vertical="center" indent="1"/>
      <protection hidden="1"/>
    </xf>
    <xf numFmtId="168" fontId="1" fillId="0" borderId="58" xfId="0" applyNumberFormat="1" applyFont="1" applyFill="1" applyBorder="1" applyAlignment="1" applyProtection="1">
      <alignment horizontal="right" vertical="center"/>
      <protection locked="0"/>
    </xf>
    <xf numFmtId="168" fontId="1" fillId="0" borderId="100" xfId="0" applyNumberFormat="1" applyFont="1" applyFill="1" applyBorder="1" applyAlignment="1" applyProtection="1">
      <alignment horizontal="right" vertical="center"/>
      <protection locked="0"/>
    </xf>
    <xf numFmtId="168" fontId="1" fillId="0" borderId="101" xfId="0" applyNumberFormat="1" applyFont="1" applyFill="1" applyBorder="1" applyAlignment="1" applyProtection="1">
      <alignment horizontal="right" vertical="center"/>
      <protection locked="0"/>
    </xf>
    <xf numFmtId="0" fontId="36" fillId="0" borderId="0" xfId="0" applyFont="1" applyFill="1" applyBorder="1" applyAlignment="1" applyProtection="1">
      <alignment horizontal="left" vertical="center"/>
      <protection locked="0"/>
    </xf>
    <xf numFmtId="0" fontId="1" fillId="0" borderId="54" xfId="0" applyFont="1" applyFill="1" applyBorder="1" applyAlignment="1" applyProtection="1">
      <alignment horizontal="right" vertical="center" indent="1"/>
      <protection locked="0"/>
    </xf>
    <xf numFmtId="0" fontId="1" fillId="0" borderId="58" xfId="0" applyFont="1" applyFill="1" applyBorder="1" applyAlignment="1" applyProtection="1">
      <alignment horizontal="right" vertical="center" indent="1"/>
      <protection locked="0"/>
    </xf>
    <xf numFmtId="0" fontId="0" fillId="0" borderId="55" xfId="0" applyFill="1" applyBorder="1" applyAlignment="1" applyProtection="1">
      <alignment horizontal="right" vertical="center" indent="1"/>
      <protection locked="0"/>
    </xf>
    <xf numFmtId="168" fontId="2" fillId="0" borderId="12" xfId="0" applyNumberFormat="1" applyFont="1" applyFill="1" applyBorder="1" applyAlignment="1" applyProtection="1">
      <alignment vertical="center"/>
      <protection hidden="1"/>
    </xf>
    <xf numFmtId="166" fontId="1" fillId="0" borderId="121" xfId="0" applyNumberFormat="1" applyFont="1" applyFill="1" applyBorder="1" applyAlignment="1" applyProtection="1">
      <alignment horizontal="right" vertical="center" indent="1" shrinkToFit="1"/>
      <protection locked="0"/>
    </xf>
    <xf numFmtId="166" fontId="1" fillId="0" borderId="122" xfId="0" applyNumberFormat="1" applyFont="1" applyFill="1" applyBorder="1" applyAlignment="1" applyProtection="1">
      <alignment horizontal="right" vertical="center" indent="1" shrinkToFit="1"/>
      <protection locked="0"/>
    </xf>
    <xf numFmtId="0" fontId="1" fillId="19" borderId="163" xfId="0" applyFont="1" applyFill="1" applyBorder="1" applyAlignment="1" applyProtection="1">
      <alignment horizontal="center" vertical="center"/>
      <protection hidden="1"/>
    </xf>
    <xf numFmtId="0" fontId="1" fillId="19" borderId="159" xfId="0" applyFont="1" applyFill="1" applyBorder="1" applyAlignment="1" applyProtection="1">
      <alignment horizontal="center" vertical="center"/>
      <protection hidden="1"/>
    </xf>
    <xf numFmtId="0" fontId="93" fillId="23" borderId="162" xfId="0" applyFont="1" applyFill="1" applyBorder="1" applyAlignment="1" applyProtection="1">
      <alignment horizontal="center" vertical="center"/>
      <protection hidden="1"/>
    </xf>
    <xf numFmtId="0" fontId="1" fillId="0" borderId="160" xfId="0" applyFont="1" applyBorder="1" applyAlignment="1" applyProtection="1">
      <alignment horizontal="center" vertical="center" wrapText="1"/>
      <protection hidden="1"/>
    </xf>
    <xf numFmtId="0" fontId="93" fillId="17" borderId="148" xfId="0" applyFont="1" applyFill="1" applyBorder="1" applyAlignment="1" applyProtection="1">
      <alignment horizontal="center" vertical="center"/>
      <protection hidden="1"/>
    </xf>
    <xf numFmtId="0" fontId="73" fillId="18" borderId="50" xfId="0" applyFont="1" applyFill="1" applyBorder="1" applyAlignment="1">
      <alignment horizontal="left" vertical="center" indent="1"/>
    </xf>
    <xf numFmtId="0" fontId="0" fillId="0" borderId="6" xfId="0" applyBorder="1" applyAlignment="1">
      <alignment horizontal="left" vertical="center" indent="1"/>
    </xf>
    <xf numFmtId="0" fontId="0" fillId="0" borderId="13" xfId="0" applyBorder="1" applyAlignment="1">
      <alignment horizontal="left" vertical="center" indent="1"/>
    </xf>
    <xf numFmtId="0" fontId="2" fillId="0" borderId="61" xfId="0" applyFont="1" applyFill="1" applyBorder="1" applyAlignment="1" applyProtection="1">
      <alignment horizontal="center" vertical="center"/>
      <protection hidden="1"/>
    </xf>
    <xf numFmtId="168" fontId="3" fillId="0" borderId="98" xfId="0" applyNumberFormat="1" applyFont="1" applyFill="1" applyBorder="1" applyAlignment="1" applyProtection="1">
      <alignment horizontal="right" vertical="center"/>
      <protection locked="0"/>
    </xf>
    <xf numFmtId="0" fontId="33" fillId="0" borderId="61" xfId="0" applyFont="1" applyFill="1" applyBorder="1" applyAlignment="1" applyProtection="1">
      <alignment horizontal="right" vertical="center"/>
      <protection hidden="1"/>
    </xf>
    <xf numFmtId="0" fontId="86" fillId="0" borderId="0" xfId="0" applyFont="1" applyFill="1" applyBorder="1" applyAlignment="1" applyProtection="1">
      <alignment horizontal="left" vertical="center" wrapText="1" indent="1"/>
      <protection locked="0"/>
    </xf>
    <xf numFmtId="0" fontId="59" fillId="0" borderId="0" xfId="0" applyFont="1" applyFill="1" applyBorder="1" applyAlignment="1" applyProtection="1">
      <alignment horizontal="justify" vertical="top" wrapText="1"/>
      <protection hidden="1"/>
    </xf>
    <xf numFmtId="0" fontId="14" fillId="0" borderId="53" xfId="4" applyFont="1" applyFill="1" applyBorder="1" applyAlignment="1" applyProtection="1">
      <alignment horizontal="center" vertical="center"/>
      <protection hidden="1"/>
    </xf>
    <xf numFmtId="0" fontId="12" fillId="0" borderId="53" xfId="0" applyFont="1" applyFill="1" applyBorder="1" applyAlignment="1" applyProtection="1">
      <alignment horizontal="center" vertical="center"/>
      <protection hidden="1"/>
    </xf>
    <xf numFmtId="0" fontId="82" fillId="0" borderId="62" xfId="0" applyFont="1" applyFill="1" applyBorder="1" applyAlignment="1" applyProtection="1">
      <alignment horizontal="left" vertical="center" indent="1"/>
      <protection hidden="1"/>
    </xf>
    <xf numFmtId="0" fontId="82" fillId="0" borderId="79" xfId="0" applyFont="1" applyFill="1" applyBorder="1" applyAlignment="1" applyProtection="1">
      <alignment horizontal="left" vertical="center" indent="1"/>
      <protection hidden="1"/>
    </xf>
    <xf numFmtId="0" fontId="82" fillId="0" borderId="50" xfId="0" applyFont="1" applyFill="1" applyBorder="1" applyAlignment="1" applyProtection="1">
      <alignment horizontal="left" vertical="center" indent="1"/>
      <protection hidden="1"/>
    </xf>
    <xf numFmtId="0" fontId="82" fillId="0" borderId="5" xfId="0" applyFont="1" applyFill="1" applyBorder="1" applyAlignment="1" applyProtection="1">
      <alignment horizontal="left" vertical="center" indent="1"/>
      <protection hidden="1"/>
    </xf>
    <xf numFmtId="0" fontId="82" fillId="0" borderId="6" xfId="0" applyFont="1" applyFill="1" applyBorder="1" applyAlignment="1" applyProtection="1">
      <alignment horizontal="left" vertical="center" indent="1"/>
      <protection hidden="1"/>
    </xf>
    <xf numFmtId="0" fontId="82" fillId="0" borderId="14" xfId="0" applyFont="1" applyFill="1" applyBorder="1" applyAlignment="1" applyProtection="1">
      <alignment horizontal="left" vertical="center" indent="1"/>
      <protection hidden="1"/>
    </xf>
    <xf numFmtId="0" fontId="69" fillId="4" borderId="67" xfId="0" applyFont="1" applyFill="1" applyBorder="1" applyAlignment="1" applyProtection="1">
      <alignment horizontal="left" vertical="center" indent="1"/>
      <protection hidden="1"/>
    </xf>
    <xf numFmtId="0" fontId="69" fillId="4" borderId="58" xfId="0" applyFont="1" applyFill="1" applyBorder="1" applyAlignment="1" applyProtection="1">
      <alignment horizontal="left" vertical="center" indent="1"/>
      <protection hidden="1"/>
    </xf>
    <xf numFmtId="0" fontId="69" fillId="4" borderId="55" xfId="0" applyFont="1" applyFill="1" applyBorder="1" applyAlignment="1" applyProtection="1">
      <alignment horizontal="left" vertical="center" indent="1"/>
      <protection hidden="1"/>
    </xf>
    <xf numFmtId="0" fontId="85" fillId="17" borderId="98" xfId="4" applyFont="1" applyFill="1" applyBorder="1" applyAlignment="1" applyProtection="1">
      <alignment horizontal="center" vertical="center" wrapText="1"/>
      <protection hidden="1"/>
    </xf>
    <xf numFmtId="0" fontId="86" fillId="17" borderId="98" xfId="0" applyFont="1" applyFill="1" applyBorder="1" applyAlignment="1">
      <alignment horizontal="center" vertical="center" wrapText="1"/>
    </xf>
    <xf numFmtId="0" fontId="51" fillId="9" borderId="75" xfId="4" applyFont="1" applyFill="1" applyBorder="1" applyAlignment="1" applyProtection="1">
      <alignment horizontal="center" vertical="center"/>
      <protection hidden="1"/>
    </xf>
    <xf numFmtId="0" fontId="49" fillId="3" borderId="64" xfId="4" applyFont="1" applyFill="1" applyBorder="1" applyAlignment="1" applyProtection="1">
      <alignment horizontal="center" vertical="center"/>
      <protection hidden="1"/>
    </xf>
    <xf numFmtId="0" fontId="49" fillId="3" borderId="65" xfId="4" applyFont="1" applyFill="1" applyBorder="1" applyAlignment="1" applyProtection="1">
      <alignment horizontal="center" vertical="center"/>
      <protection hidden="1"/>
    </xf>
    <xf numFmtId="0" fontId="49" fillId="3" borderId="66" xfId="4" applyFont="1" applyFill="1" applyBorder="1" applyAlignment="1" applyProtection="1">
      <alignment horizontal="center" vertical="center"/>
      <protection hidden="1"/>
    </xf>
    <xf numFmtId="173" fontId="44" fillId="9" borderId="63" xfId="4" applyNumberFormat="1" applyFont="1" applyFill="1" applyBorder="1" applyAlignment="1" applyProtection="1">
      <alignment horizontal="left" vertical="center" indent="1"/>
      <protection hidden="1"/>
    </xf>
    <xf numFmtId="173" fontId="44" fillId="9" borderId="75" xfId="4" applyNumberFormat="1" applyFont="1" applyFill="1" applyBorder="1" applyAlignment="1" applyProtection="1">
      <alignment horizontal="left" vertical="center" indent="1"/>
      <protection hidden="1"/>
    </xf>
    <xf numFmtId="173" fontId="44" fillId="9" borderId="77" xfId="4" applyNumberFormat="1" applyFont="1" applyFill="1" applyBorder="1" applyAlignment="1" applyProtection="1">
      <alignment horizontal="left" vertical="center" indent="1"/>
      <protection hidden="1"/>
    </xf>
    <xf numFmtId="173" fontId="44" fillId="9" borderId="60" xfId="4" applyNumberFormat="1" applyFont="1" applyFill="1" applyBorder="1" applyAlignment="1" applyProtection="1">
      <alignment horizontal="left" vertical="center" indent="1"/>
      <protection hidden="1"/>
    </xf>
    <xf numFmtId="0" fontId="45" fillId="9" borderId="75" xfId="4" applyFont="1" applyFill="1" applyBorder="1" applyAlignment="1" applyProtection="1">
      <alignment horizontal="center" vertical="center" wrapText="1"/>
      <protection hidden="1"/>
    </xf>
    <xf numFmtId="0" fontId="3" fillId="0" borderId="75" xfId="4" applyBorder="1" applyProtection="1">
      <protection hidden="1"/>
    </xf>
    <xf numFmtId="0" fontId="3" fillId="0" borderId="60" xfId="4" applyBorder="1" applyProtection="1">
      <protection hidden="1"/>
    </xf>
    <xf numFmtId="0" fontId="44" fillId="9" borderId="75" xfId="4" applyFont="1" applyFill="1" applyBorder="1" applyAlignment="1" applyProtection="1">
      <alignment horizontal="right" vertical="center" indent="1"/>
      <protection hidden="1"/>
    </xf>
    <xf numFmtId="0" fontId="44" fillId="9" borderId="76" xfId="4" applyFont="1" applyFill="1" applyBorder="1" applyAlignment="1" applyProtection="1">
      <alignment horizontal="right" vertical="center" indent="1"/>
      <protection hidden="1"/>
    </xf>
    <xf numFmtId="0" fontId="44" fillId="9" borderId="60" xfId="4" applyFont="1" applyFill="1" applyBorder="1" applyAlignment="1" applyProtection="1">
      <alignment horizontal="right" vertical="center" indent="1"/>
      <protection hidden="1"/>
    </xf>
    <xf numFmtId="0" fontId="44" fillId="9" borderId="78" xfId="4" applyFont="1" applyFill="1" applyBorder="1" applyAlignment="1" applyProtection="1">
      <alignment horizontal="right" vertical="center" indent="1"/>
      <protection hidden="1"/>
    </xf>
    <xf numFmtId="0" fontId="36" fillId="4" borderId="111" xfId="0" applyFont="1" applyFill="1" applyBorder="1" applyAlignment="1" applyProtection="1">
      <alignment horizontal="left" vertical="center" indent="1"/>
      <protection hidden="1"/>
    </xf>
    <xf numFmtId="0" fontId="36" fillId="4" borderId="103" xfId="0" applyFont="1" applyFill="1" applyBorder="1" applyAlignment="1" applyProtection="1">
      <alignment horizontal="left" vertical="center" indent="1"/>
      <protection hidden="1"/>
    </xf>
    <xf numFmtId="0" fontId="36" fillId="4" borderId="70" xfId="0" applyFont="1" applyFill="1" applyBorder="1" applyAlignment="1" applyProtection="1">
      <alignment horizontal="left" vertical="center" indent="1"/>
      <protection hidden="1"/>
    </xf>
    <xf numFmtId="0" fontId="36" fillId="4" borderId="0" xfId="0" applyFont="1" applyFill="1" applyBorder="1" applyAlignment="1" applyProtection="1">
      <alignment horizontal="left" vertical="center" indent="1"/>
      <protection hidden="1"/>
    </xf>
    <xf numFmtId="0" fontId="36" fillId="4" borderId="71" xfId="0" applyFont="1" applyFill="1" applyBorder="1" applyAlignment="1" applyProtection="1">
      <alignment horizontal="left" vertical="center" indent="1"/>
      <protection hidden="1"/>
    </xf>
    <xf numFmtId="0" fontId="36" fillId="4" borderId="13" xfId="0" applyFont="1" applyFill="1" applyBorder="1" applyAlignment="1" applyProtection="1">
      <alignment horizontal="left" vertical="center" indent="1"/>
      <protection hidden="1"/>
    </xf>
    <xf numFmtId="0" fontId="82" fillId="0" borderId="160" xfId="0" applyFont="1" applyFill="1" applyBorder="1" applyAlignment="1" applyProtection="1">
      <alignment horizontal="left" vertical="center" wrapText="1" indent="1"/>
      <protection hidden="1"/>
    </xf>
    <xf numFmtId="0" fontId="82" fillId="0" borderId="50" xfId="0" applyFont="1" applyFill="1" applyBorder="1" applyAlignment="1" applyProtection="1">
      <alignment horizontal="left" vertical="center" wrapText="1" indent="1"/>
      <protection hidden="1"/>
    </xf>
    <xf numFmtId="0" fontId="82" fillId="0" borderId="0" xfId="0" applyFont="1" applyFill="1" applyBorder="1" applyAlignment="1" applyProtection="1">
      <alignment horizontal="left" vertical="center" wrapText="1" indent="1"/>
      <protection hidden="1"/>
    </xf>
    <xf numFmtId="0" fontId="82" fillId="0" borderId="6" xfId="0" applyFont="1" applyFill="1" applyBorder="1" applyAlignment="1" applyProtection="1">
      <alignment horizontal="left" vertical="center" wrapText="1" indent="1"/>
      <protection hidden="1"/>
    </xf>
    <xf numFmtId="0" fontId="82" fillId="0" borderId="13" xfId="0" applyFont="1" applyFill="1" applyBorder="1" applyAlignment="1" applyProtection="1">
      <alignment horizontal="left" vertical="center" wrapText="1" indent="1"/>
      <protection hidden="1"/>
    </xf>
    <xf numFmtId="0" fontId="3" fillId="18" borderId="111" xfId="4" applyFont="1" applyFill="1" applyBorder="1" applyAlignment="1" applyProtection="1">
      <alignment horizontal="left" vertical="center" indent="1"/>
      <protection hidden="1"/>
    </xf>
    <xf numFmtId="0" fontId="3" fillId="18" borderId="103" xfId="4" applyFont="1" applyFill="1" applyBorder="1" applyAlignment="1" applyProtection="1">
      <alignment horizontal="left" vertical="center" indent="1"/>
      <protection hidden="1"/>
    </xf>
    <xf numFmtId="0" fontId="3" fillId="18" borderId="70" xfId="4" applyFont="1" applyFill="1" applyBorder="1" applyAlignment="1" applyProtection="1">
      <alignment horizontal="left" vertical="center" indent="1"/>
      <protection hidden="1"/>
    </xf>
    <xf numFmtId="0" fontId="3" fillId="18" borderId="0" xfId="4" applyFont="1" applyFill="1" applyBorder="1" applyAlignment="1" applyProtection="1">
      <alignment horizontal="left" vertical="center" indent="1"/>
      <protection hidden="1"/>
    </xf>
    <xf numFmtId="0" fontId="3" fillId="18" borderId="71" xfId="4" applyFont="1" applyFill="1" applyBorder="1" applyAlignment="1" applyProtection="1">
      <alignment horizontal="left" vertical="center" indent="1"/>
      <protection hidden="1"/>
    </xf>
    <xf numFmtId="0" fontId="3" fillId="18" borderId="13" xfId="4" applyFont="1" applyFill="1" applyBorder="1" applyAlignment="1" applyProtection="1">
      <alignment horizontal="left" vertical="center" indent="1"/>
      <protection hidden="1"/>
    </xf>
    <xf numFmtId="0" fontId="42" fillId="0" borderId="104" xfId="4" applyFont="1" applyBorder="1" applyAlignment="1" applyProtection="1">
      <alignment horizontal="left" vertical="center" indent="1"/>
      <protection hidden="1"/>
    </xf>
    <xf numFmtId="0" fontId="42" fillId="0" borderId="103" xfId="4" applyFont="1" applyBorder="1" applyAlignment="1" applyProtection="1">
      <alignment horizontal="left" vertical="center" indent="1"/>
      <protection hidden="1"/>
    </xf>
    <xf numFmtId="0" fontId="42" fillId="0" borderId="6" xfId="4" applyFont="1" applyBorder="1" applyAlignment="1" applyProtection="1">
      <alignment horizontal="left" vertical="center" indent="1"/>
      <protection hidden="1"/>
    </xf>
    <xf numFmtId="0" fontId="42" fillId="0" borderId="13" xfId="4" applyFont="1" applyBorder="1" applyAlignment="1" applyProtection="1">
      <alignment horizontal="left" vertical="center" indent="1"/>
      <protection hidden="1"/>
    </xf>
    <xf numFmtId="0" fontId="42" fillId="0" borderId="50" xfId="4" applyFont="1" applyBorder="1" applyAlignment="1" applyProtection="1">
      <alignment horizontal="left" vertical="center" indent="1"/>
      <protection hidden="1"/>
    </xf>
    <xf numFmtId="0" fontId="42" fillId="0" borderId="0" xfId="4" applyFont="1" applyBorder="1" applyAlignment="1" applyProtection="1">
      <alignment horizontal="left" vertical="center" indent="1"/>
      <protection hidden="1"/>
    </xf>
    <xf numFmtId="0" fontId="42" fillId="5" borderId="90" xfId="4" applyFont="1" applyFill="1" applyBorder="1" applyAlignment="1" applyProtection="1">
      <alignment horizontal="left" vertical="center" wrapText="1" indent="1"/>
      <protection hidden="1"/>
    </xf>
    <xf numFmtId="0" fontId="42" fillId="5" borderId="91" xfId="4" applyFont="1" applyFill="1" applyBorder="1" applyAlignment="1" applyProtection="1">
      <alignment horizontal="left" vertical="center" wrapText="1" indent="1"/>
      <protection hidden="1"/>
    </xf>
    <xf numFmtId="0" fontId="42" fillId="5" borderId="96" xfId="4" applyFont="1" applyFill="1" applyBorder="1" applyAlignment="1" applyProtection="1">
      <alignment horizontal="left" vertical="center" wrapText="1" indent="1"/>
      <protection hidden="1"/>
    </xf>
    <xf numFmtId="0" fontId="42" fillId="5" borderId="97" xfId="4" applyFont="1" applyFill="1" applyBorder="1" applyAlignment="1" applyProtection="1">
      <alignment horizontal="left" vertical="center" wrapText="1" indent="1"/>
      <protection hidden="1"/>
    </xf>
    <xf numFmtId="14" fontId="14" fillId="0" borderId="53" xfId="4" applyNumberFormat="1" applyFont="1" applyFill="1" applyBorder="1" applyAlignment="1" applyProtection="1">
      <alignment horizontal="center" vertical="center"/>
      <protection hidden="1"/>
    </xf>
    <xf numFmtId="173" fontId="44" fillId="9" borderId="81" xfId="4" applyNumberFormat="1" applyFont="1" applyFill="1" applyBorder="1" applyAlignment="1" applyProtection="1">
      <alignment horizontal="left" vertical="center" indent="1"/>
      <protection hidden="1"/>
    </xf>
    <xf numFmtId="173" fontId="3" fillId="0" borderId="31" xfId="4" applyNumberFormat="1" applyBorder="1" applyAlignment="1" applyProtection="1">
      <alignment horizontal="left" vertical="center" indent="1"/>
      <protection hidden="1"/>
    </xf>
    <xf numFmtId="173" fontId="3" fillId="0" borderId="83" xfId="4" applyNumberFormat="1" applyBorder="1" applyAlignment="1" applyProtection="1">
      <alignment horizontal="left" vertical="center" indent="1"/>
      <protection hidden="1"/>
    </xf>
    <xf numFmtId="173" fontId="3" fillId="0" borderId="33" xfId="4" applyNumberFormat="1" applyBorder="1" applyAlignment="1" applyProtection="1">
      <alignment horizontal="left" vertical="center" indent="1"/>
      <protection hidden="1"/>
    </xf>
    <xf numFmtId="49" fontId="45" fillId="9" borderId="31" xfId="4" applyNumberFormat="1" applyFont="1" applyFill="1" applyBorder="1" applyAlignment="1" applyProtection="1">
      <alignment horizontal="center" vertical="center" wrapText="1"/>
      <protection hidden="1"/>
    </xf>
    <xf numFmtId="49" fontId="45" fillId="9" borderId="33" xfId="4" applyNumberFormat="1" applyFont="1" applyFill="1" applyBorder="1" applyAlignment="1" applyProtection="1">
      <alignment horizontal="center" vertical="center" wrapText="1"/>
      <protection hidden="1"/>
    </xf>
    <xf numFmtId="0" fontId="44" fillId="9" borderId="31" xfId="4" applyNumberFormat="1" applyFont="1" applyFill="1" applyBorder="1" applyAlignment="1" applyProtection="1">
      <alignment horizontal="right" vertical="center" indent="1"/>
      <protection hidden="1"/>
    </xf>
    <xf numFmtId="0" fontId="44" fillId="9" borderId="82" xfId="4" applyNumberFormat="1" applyFont="1" applyFill="1" applyBorder="1" applyAlignment="1" applyProtection="1">
      <alignment horizontal="right" vertical="center" indent="1"/>
      <protection hidden="1"/>
    </xf>
    <xf numFmtId="0" fontId="44" fillId="9" borderId="33" xfId="4" applyNumberFormat="1" applyFont="1" applyFill="1" applyBorder="1" applyAlignment="1" applyProtection="1">
      <alignment horizontal="right" vertical="center" indent="1"/>
      <protection hidden="1"/>
    </xf>
    <xf numFmtId="0" fontId="44" fillId="9" borderId="32" xfId="4" applyNumberFormat="1" applyFont="1" applyFill="1" applyBorder="1" applyAlignment="1" applyProtection="1">
      <alignment horizontal="right" vertical="center" indent="1"/>
      <protection hidden="1"/>
    </xf>
    <xf numFmtId="0" fontId="44" fillId="9" borderId="86" xfId="4" applyFont="1" applyFill="1" applyBorder="1" applyAlignment="1" applyProtection="1">
      <alignment horizontal="center" vertical="center" wrapText="1"/>
      <protection hidden="1"/>
    </xf>
    <xf numFmtId="0" fontId="44" fillId="9" borderId="87" xfId="4" applyFont="1" applyFill="1" applyBorder="1" applyAlignment="1" applyProtection="1">
      <alignment horizontal="center" vertical="center" wrapText="1"/>
      <protection hidden="1"/>
    </xf>
    <xf numFmtId="0" fontId="42" fillId="5" borderId="92" xfId="4" applyFont="1" applyFill="1" applyBorder="1" applyAlignment="1" applyProtection="1">
      <alignment horizontal="left" vertical="center" wrapText="1" indent="1"/>
      <protection hidden="1"/>
    </xf>
    <xf numFmtId="0" fontId="42" fillId="5" borderId="93" xfId="4" applyFont="1" applyFill="1" applyBorder="1" applyAlignment="1" applyProtection="1">
      <alignment horizontal="left" vertical="center" wrapText="1" indent="1"/>
      <protection hidden="1"/>
    </xf>
    <xf numFmtId="0" fontId="42" fillId="5" borderId="94" xfId="4" applyFont="1" applyFill="1" applyBorder="1" applyAlignment="1" applyProtection="1">
      <alignment horizontal="left" vertical="center" wrapText="1" indent="1"/>
      <protection hidden="1"/>
    </xf>
    <xf numFmtId="0" fontId="15" fillId="7" borderId="102" xfId="4" applyFont="1" applyFill="1" applyBorder="1" applyAlignment="1" applyProtection="1">
      <alignment horizontal="left" vertical="center" wrapText="1" indent="1"/>
      <protection locked="0" hidden="1"/>
    </xf>
    <xf numFmtId="0" fontId="15" fillId="7" borderId="45" xfId="4" applyFont="1" applyFill="1" applyBorder="1" applyAlignment="1" applyProtection="1">
      <alignment horizontal="left" vertical="center" wrapText="1" indent="1"/>
      <protection locked="0" hidden="1"/>
    </xf>
    <xf numFmtId="0" fontId="15" fillId="7" borderId="16" xfId="4" applyFont="1" applyFill="1" applyBorder="1" applyAlignment="1" applyProtection="1">
      <alignment horizontal="left" vertical="center" wrapText="1" indent="1"/>
      <protection locked="0" hidden="1"/>
    </xf>
    <xf numFmtId="0" fontId="14" fillId="7" borderId="149" xfId="4" applyFont="1" applyFill="1" applyBorder="1" applyAlignment="1" applyProtection="1">
      <alignment horizontal="center" vertical="center"/>
      <protection locked="0" hidden="1"/>
    </xf>
    <xf numFmtId="0" fontId="14" fillId="7" borderId="150" xfId="4" applyFont="1" applyFill="1" applyBorder="1" applyAlignment="1" applyProtection="1">
      <alignment horizontal="center" vertical="center"/>
      <protection locked="0" hidden="1"/>
    </xf>
    <xf numFmtId="0" fontId="14" fillId="7" borderId="159" xfId="4" applyFont="1" applyFill="1" applyBorder="1" applyAlignment="1" applyProtection="1">
      <alignment horizontal="center" vertical="center"/>
      <protection locked="0" hidden="1"/>
    </xf>
    <xf numFmtId="0" fontId="14" fillId="7" borderId="102" xfId="4" applyFont="1" applyFill="1" applyBorder="1" applyAlignment="1" applyProtection="1">
      <alignment horizontal="center" vertical="center" wrapText="1"/>
      <protection locked="0" hidden="1"/>
    </xf>
    <xf numFmtId="0" fontId="14" fillId="7" borderId="45" xfId="4" applyFont="1" applyFill="1" applyBorder="1" applyAlignment="1" applyProtection="1">
      <alignment horizontal="center" vertical="center" wrapText="1"/>
      <protection locked="0" hidden="1"/>
    </xf>
    <xf numFmtId="0" fontId="14" fillId="7" borderId="16" xfId="4" applyFont="1" applyFill="1" applyBorder="1" applyAlignment="1" applyProtection="1">
      <alignment horizontal="center" vertical="center" wrapText="1"/>
      <protection locked="0" hidden="1"/>
    </xf>
    <xf numFmtId="0" fontId="14" fillId="7" borderId="102" xfId="4" applyFont="1" applyFill="1" applyBorder="1" applyAlignment="1" applyProtection="1">
      <alignment horizontal="center" vertical="center"/>
      <protection locked="0" hidden="1"/>
    </xf>
    <xf numFmtId="0" fontId="14" fillId="7" borderId="16" xfId="4" applyFont="1" applyFill="1" applyBorder="1" applyAlignment="1" applyProtection="1">
      <alignment horizontal="center" vertical="center"/>
      <protection locked="0" hidden="1"/>
    </xf>
    <xf numFmtId="0" fontId="14" fillId="7" borderId="160" xfId="4" applyFont="1" applyFill="1" applyBorder="1" applyAlignment="1" applyProtection="1">
      <alignment horizontal="center" vertical="center" wrapText="1"/>
      <protection locked="0" hidden="1"/>
    </xf>
    <xf numFmtId="0" fontId="15" fillId="0" borderId="9" xfId="4" applyFont="1" applyBorder="1" applyAlignment="1" applyProtection="1">
      <alignment horizontal="left" vertical="center" indent="1"/>
      <protection locked="0" hidden="1"/>
    </xf>
    <xf numFmtId="0" fontId="15" fillId="0" borderId="10" xfId="4" applyFont="1" applyBorder="1" applyAlignment="1" applyProtection="1">
      <alignment horizontal="left" vertical="center" indent="1"/>
      <protection locked="0" hidden="1"/>
    </xf>
    <xf numFmtId="0" fontId="15" fillId="0" borderId="11" xfId="4" applyFont="1" applyBorder="1" applyAlignment="1" applyProtection="1">
      <alignment horizontal="left" vertical="center" indent="1"/>
      <protection locked="0" hidden="1"/>
    </xf>
    <xf numFmtId="168" fontId="17" fillId="13" borderId="99" xfId="0" applyNumberFormat="1" applyFont="1" applyFill="1" applyBorder="1" applyAlignment="1" applyProtection="1">
      <alignment horizontal="right" vertical="center" indent="1"/>
      <protection locked="0" hidden="1"/>
    </xf>
    <xf numFmtId="0" fontId="17" fillId="4" borderId="34" xfId="0" applyFont="1" applyFill="1" applyBorder="1" applyAlignment="1" applyProtection="1">
      <alignment horizontal="left" vertical="center" indent="1"/>
      <protection locked="0" hidden="1"/>
    </xf>
    <xf numFmtId="168" fontId="17" fillId="4" borderId="34" xfId="0" quotePrefix="1" applyNumberFormat="1" applyFont="1" applyFill="1" applyBorder="1" applyAlignment="1" applyProtection="1">
      <alignment horizontal="right" vertical="center" indent="1"/>
      <protection locked="0" hidden="1"/>
    </xf>
    <xf numFmtId="168" fontId="17" fillId="4" borderId="34" xfId="0" applyNumberFormat="1" applyFont="1" applyFill="1" applyBorder="1" applyAlignment="1" applyProtection="1">
      <alignment horizontal="right" vertical="center" indent="1"/>
      <protection locked="0" hidden="1"/>
    </xf>
    <xf numFmtId="0" fontId="18" fillId="7" borderId="104" xfId="0" applyFont="1" applyFill="1" applyBorder="1" applyAlignment="1" applyProtection="1">
      <alignment horizontal="center" vertical="center"/>
      <protection locked="0" hidden="1"/>
    </xf>
    <xf numFmtId="0" fontId="18" fillId="7" borderId="103" xfId="0" applyFont="1" applyFill="1" applyBorder="1" applyAlignment="1" applyProtection="1">
      <alignment horizontal="center" vertical="center"/>
      <protection locked="0" hidden="1"/>
    </xf>
    <xf numFmtId="0" fontId="18" fillId="7" borderId="132" xfId="0" applyFont="1" applyFill="1" applyBorder="1" applyAlignment="1" applyProtection="1">
      <alignment horizontal="center" vertical="center"/>
      <protection locked="0" hidden="1"/>
    </xf>
    <xf numFmtId="0" fontId="18" fillId="7" borderId="131" xfId="0" applyFont="1" applyFill="1" applyBorder="1" applyAlignment="1" applyProtection="1">
      <alignment horizontal="center" vertical="center"/>
      <protection locked="0" hidden="1"/>
    </xf>
    <xf numFmtId="0" fontId="18" fillId="7" borderId="130" xfId="0" applyFont="1" applyFill="1" applyBorder="1" applyAlignment="1" applyProtection="1">
      <alignment horizontal="center" vertical="center"/>
      <protection locked="0" hidden="1"/>
    </xf>
    <xf numFmtId="0" fontId="14" fillId="7" borderId="62" xfId="4" applyFont="1" applyFill="1" applyBorder="1" applyAlignment="1" applyProtection="1">
      <alignment horizontal="left" vertical="center" indent="1"/>
      <protection locked="0" hidden="1"/>
    </xf>
    <xf numFmtId="0" fontId="14" fillId="7" borderId="79" xfId="4" applyFont="1" applyFill="1" applyBorder="1" applyAlignment="1" applyProtection="1">
      <alignment horizontal="left" vertical="center" indent="1"/>
      <protection locked="0" hidden="1"/>
    </xf>
    <xf numFmtId="0" fontId="14" fillId="7" borderId="50" xfId="4" applyFont="1" applyFill="1" applyBorder="1" applyAlignment="1" applyProtection="1">
      <alignment horizontal="left" vertical="center" indent="1"/>
      <protection locked="0" hidden="1"/>
    </xf>
    <xf numFmtId="0" fontId="14" fillId="7" borderId="5" xfId="4" applyFont="1" applyFill="1" applyBorder="1" applyAlignment="1" applyProtection="1">
      <alignment horizontal="left" vertical="center" indent="1"/>
      <protection locked="0" hidden="1"/>
    </xf>
    <xf numFmtId="0" fontId="14" fillId="7" borderId="6" xfId="4" applyFont="1" applyFill="1" applyBorder="1" applyAlignment="1" applyProtection="1">
      <alignment horizontal="left" vertical="center" indent="1"/>
      <protection locked="0" hidden="1"/>
    </xf>
    <xf numFmtId="0" fontId="14" fillId="7" borderId="14" xfId="4" applyFont="1" applyFill="1" applyBorder="1" applyAlignment="1" applyProtection="1">
      <alignment horizontal="left" vertical="center" indent="1"/>
      <protection locked="0" hidden="1"/>
    </xf>
    <xf numFmtId="0" fontId="14" fillId="7" borderId="37" xfId="4" applyFont="1" applyFill="1" applyBorder="1" applyAlignment="1" applyProtection="1">
      <alignment horizontal="center" vertical="center" wrapText="1"/>
      <protection locked="0" hidden="1"/>
    </xf>
    <xf numFmtId="0" fontId="18" fillId="7" borderId="99" xfId="0" applyFont="1" applyFill="1" applyBorder="1" applyAlignment="1" applyProtection="1">
      <alignment horizontal="center" vertical="center"/>
      <protection locked="0" hidden="1"/>
    </xf>
    <xf numFmtId="0" fontId="18" fillId="7" borderId="100" xfId="0" applyFont="1" applyFill="1" applyBorder="1" applyAlignment="1" applyProtection="1">
      <alignment horizontal="center" vertical="center"/>
      <protection locked="0" hidden="1"/>
    </xf>
    <xf numFmtId="0" fontId="18" fillId="7" borderId="101" xfId="0" applyFont="1" applyFill="1" applyBorder="1" applyAlignment="1" applyProtection="1">
      <alignment horizontal="center" vertical="center"/>
      <protection locked="0" hidden="1"/>
    </xf>
    <xf numFmtId="0" fontId="11" fillId="0" borderId="42" xfId="0" applyFont="1" applyBorder="1" applyAlignment="1" applyProtection="1">
      <alignment horizontal="left" vertical="center" indent="1"/>
      <protection locked="0" hidden="1"/>
    </xf>
    <xf numFmtId="0" fontId="11" fillId="0" borderId="41" xfId="0" applyFont="1" applyBorder="1" applyAlignment="1" applyProtection="1">
      <alignment horizontal="left" vertical="center" indent="1"/>
      <protection locked="0" hidden="1"/>
    </xf>
    <xf numFmtId="0" fontId="11" fillId="0" borderId="50" xfId="0" applyFont="1" applyBorder="1" applyAlignment="1" applyProtection="1">
      <alignment horizontal="left" vertical="center" indent="1"/>
      <protection locked="0" hidden="1"/>
    </xf>
    <xf numFmtId="0" fontId="11" fillId="0" borderId="5" xfId="0" applyFont="1" applyBorder="1" applyAlignment="1" applyProtection="1">
      <alignment horizontal="left" vertical="center" indent="1"/>
      <protection locked="0" hidden="1"/>
    </xf>
    <xf numFmtId="0" fontId="11" fillId="0" borderId="6" xfId="0" applyFont="1" applyBorder="1" applyAlignment="1" applyProtection="1">
      <alignment horizontal="left" vertical="center" indent="1"/>
      <protection locked="0" hidden="1"/>
    </xf>
    <xf numFmtId="0" fontId="11" fillId="0" borderId="14" xfId="0" applyFont="1" applyBorder="1" applyAlignment="1" applyProtection="1">
      <alignment horizontal="left" vertical="center" indent="1"/>
      <protection locked="0" hidden="1"/>
    </xf>
    <xf numFmtId="0" fontId="11" fillId="0" borderId="51" xfId="0" applyFont="1" applyBorder="1" applyAlignment="1" applyProtection="1">
      <alignment horizontal="left" vertical="center" indent="1"/>
      <protection locked="0" hidden="1"/>
    </xf>
    <xf numFmtId="0" fontId="11" fillId="0" borderId="52" xfId="0" applyFont="1" applyBorder="1" applyAlignment="1" applyProtection="1">
      <alignment horizontal="left" vertical="center" indent="1"/>
      <protection locked="0" hidden="1"/>
    </xf>
    <xf numFmtId="0" fontId="11" fillId="0" borderId="49" xfId="0" applyFont="1" applyBorder="1" applyAlignment="1" applyProtection="1">
      <alignment horizontal="left" vertical="center" indent="1"/>
      <protection locked="0" hidden="1"/>
    </xf>
    <xf numFmtId="0" fontId="25" fillId="4" borderId="99" xfId="0" applyFont="1" applyFill="1" applyBorder="1" applyAlignment="1" applyProtection="1">
      <alignment horizontal="left" vertical="center" indent="1"/>
      <protection locked="0" hidden="1"/>
    </xf>
    <xf numFmtId="0" fontId="25" fillId="4" borderId="100" xfId="0" applyFont="1" applyFill="1" applyBorder="1" applyAlignment="1" applyProtection="1">
      <alignment horizontal="left" vertical="center" indent="1"/>
      <protection locked="0" hidden="1"/>
    </xf>
    <xf numFmtId="0" fontId="0" fillId="0" borderId="101" xfId="0" applyBorder="1" applyAlignment="1">
      <alignment horizontal="left" vertical="center" indent="1"/>
    </xf>
    <xf numFmtId="0" fontId="26" fillId="4" borderId="6" xfId="0" applyFont="1" applyFill="1" applyBorder="1" applyAlignment="1" applyProtection="1">
      <alignment horizontal="left" vertical="center" indent="1"/>
      <protection locked="0" hidden="1"/>
    </xf>
    <xf numFmtId="0" fontId="26" fillId="4" borderId="13" xfId="0" applyFont="1" applyFill="1" applyBorder="1" applyAlignment="1" applyProtection="1">
      <alignment horizontal="left" vertical="center" indent="1"/>
      <protection locked="0" hidden="1"/>
    </xf>
    <xf numFmtId="0" fontId="0" fillId="0" borderId="14" xfId="0" applyBorder="1" applyAlignment="1">
      <alignment horizontal="left" vertical="center" indent="1"/>
    </xf>
    <xf numFmtId="0" fontId="26" fillId="4" borderId="99" xfId="0" applyFont="1" applyFill="1" applyBorder="1" applyAlignment="1" applyProtection="1">
      <alignment horizontal="left" vertical="center" indent="1"/>
      <protection locked="0" hidden="1"/>
    </xf>
    <xf numFmtId="0" fontId="26" fillId="4" borderId="100" xfId="0" applyFont="1" applyFill="1" applyBorder="1" applyAlignment="1" applyProtection="1">
      <alignment horizontal="left" vertical="center" indent="1"/>
      <protection locked="0" hidden="1"/>
    </xf>
    <xf numFmtId="0" fontId="15" fillId="0" borderId="102" xfId="4" applyFont="1" applyBorder="1" applyAlignment="1" applyProtection="1">
      <alignment horizontal="center" vertical="center" wrapText="1"/>
      <protection locked="0" hidden="1"/>
    </xf>
    <xf numFmtId="0" fontId="15" fillId="0" borderId="16" xfId="4" applyFont="1" applyBorder="1" applyAlignment="1" applyProtection="1">
      <alignment horizontal="center" vertical="center" wrapText="1"/>
      <protection locked="0" hidden="1"/>
    </xf>
    <xf numFmtId="0" fontId="14" fillId="7" borderId="104" xfId="4" applyFont="1" applyFill="1" applyBorder="1" applyAlignment="1" applyProtection="1">
      <alignment horizontal="left" vertical="center" wrapText="1" indent="1"/>
      <protection locked="0" hidden="1"/>
    </xf>
    <xf numFmtId="0" fontId="14" fillId="7" borderId="79" xfId="4" applyFont="1" applyFill="1" applyBorder="1" applyAlignment="1" applyProtection="1">
      <alignment horizontal="left" vertical="center" wrapText="1" indent="1"/>
      <protection locked="0" hidden="1"/>
    </xf>
    <xf numFmtId="0" fontId="14" fillId="7" borderId="50" xfId="4" applyFont="1" applyFill="1" applyBorder="1" applyAlignment="1" applyProtection="1">
      <alignment horizontal="left" vertical="center" wrapText="1" indent="1"/>
      <protection locked="0" hidden="1"/>
    </xf>
    <xf numFmtId="0" fontId="14" fillId="7" borderId="5" xfId="4" applyFont="1" applyFill="1" applyBorder="1" applyAlignment="1" applyProtection="1">
      <alignment horizontal="left" vertical="center" wrapText="1" indent="1"/>
      <protection locked="0" hidden="1"/>
    </xf>
    <xf numFmtId="0" fontId="14" fillId="7" borderId="6" xfId="4" applyFont="1" applyFill="1" applyBorder="1" applyAlignment="1" applyProtection="1">
      <alignment horizontal="left" vertical="center" wrapText="1" indent="1"/>
      <protection locked="0" hidden="1"/>
    </xf>
    <xf numFmtId="0" fontId="14" fillId="7" borderId="14" xfId="4" applyFont="1" applyFill="1" applyBorder="1" applyAlignment="1" applyProtection="1">
      <alignment horizontal="left" vertical="center" wrapText="1" indent="1"/>
      <protection locked="0" hidden="1"/>
    </xf>
    <xf numFmtId="0" fontId="15" fillId="0" borderId="104" xfId="4" applyFont="1" applyBorder="1" applyAlignment="1" applyProtection="1">
      <alignment horizontal="left" vertical="center" wrapText="1" indent="1"/>
      <protection locked="0" hidden="1"/>
    </xf>
    <xf numFmtId="0" fontId="15" fillId="0" borderId="103" xfId="4" applyFont="1" applyBorder="1" applyAlignment="1" applyProtection="1">
      <alignment horizontal="left" vertical="center" wrapText="1" indent="1"/>
      <protection locked="0" hidden="1"/>
    </xf>
    <xf numFmtId="0" fontId="15" fillId="0" borderId="79" xfId="4" applyFont="1" applyBorder="1" applyAlignment="1" applyProtection="1">
      <alignment horizontal="left" vertical="center" wrapText="1" indent="1"/>
      <protection locked="0" hidden="1"/>
    </xf>
    <xf numFmtId="0" fontId="15" fillId="0" borderId="6" xfId="4" applyFont="1" applyBorder="1" applyAlignment="1" applyProtection="1">
      <alignment horizontal="left" vertical="center" wrapText="1" indent="1"/>
      <protection locked="0" hidden="1"/>
    </xf>
    <xf numFmtId="0" fontId="15" fillId="0" borderId="13" xfId="4" applyFont="1" applyBorder="1" applyAlignment="1" applyProtection="1">
      <alignment horizontal="left" vertical="center" wrapText="1" indent="1"/>
      <protection locked="0" hidden="1"/>
    </xf>
    <xf numFmtId="0" fontId="15" fillId="0" borderId="14" xfId="4" applyFont="1" applyBorder="1" applyAlignment="1" applyProtection="1">
      <alignment horizontal="left" vertical="center" wrapText="1" indent="1"/>
      <protection locked="0" hidden="1"/>
    </xf>
    <xf numFmtId="168" fontId="17" fillId="13" borderId="102" xfId="0" applyNumberFormat="1" applyFont="1" applyFill="1" applyBorder="1" applyAlignment="1" applyProtection="1">
      <alignment horizontal="right" vertical="center" indent="1"/>
      <protection locked="0" hidden="1"/>
    </xf>
    <xf numFmtId="168" fontId="17" fillId="13" borderId="16" xfId="0" applyNumberFormat="1" applyFont="1" applyFill="1" applyBorder="1" applyAlignment="1" applyProtection="1">
      <alignment horizontal="right" vertical="center" indent="1"/>
      <protection locked="0" hidden="1"/>
    </xf>
    <xf numFmtId="0" fontId="11" fillId="0" borderId="104" xfId="0" applyFont="1" applyBorder="1" applyAlignment="1" applyProtection="1">
      <alignment horizontal="left" vertical="center" indent="1"/>
      <protection locked="0" hidden="1"/>
    </xf>
    <xf numFmtId="0" fontId="11" fillId="0" borderId="79" xfId="0" applyFont="1" applyBorder="1" applyAlignment="1" applyProtection="1">
      <alignment horizontal="left" vertical="center" indent="1"/>
      <protection locked="0" hidden="1"/>
    </xf>
    <xf numFmtId="0" fontId="11" fillId="0" borderId="99" xfId="0" quotePrefix="1" applyFont="1" applyBorder="1" applyAlignment="1" applyProtection="1">
      <alignment horizontal="right" vertical="center" indent="1"/>
      <protection locked="0" hidden="1"/>
    </xf>
    <xf numFmtId="0" fontId="11" fillId="0" borderId="101" xfId="0" quotePrefix="1" applyFont="1" applyBorder="1" applyAlignment="1" applyProtection="1">
      <alignment horizontal="right" vertical="center" indent="1"/>
      <protection locked="0" hidden="1"/>
    </xf>
    <xf numFmtId="0" fontId="17" fillId="0" borderId="108" xfId="0" applyFont="1" applyFill="1" applyBorder="1" applyAlignment="1" applyProtection="1">
      <alignment horizontal="left" vertical="center" indent="1"/>
      <protection locked="0" hidden="1"/>
    </xf>
    <xf numFmtId="0" fontId="17" fillId="0" borderId="109" xfId="0" applyFont="1" applyFill="1" applyBorder="1" applyAlignment="1" applyProtection="1">
      <alignment horizontal="left" vertical="center" indent="1"/>
      <protection locked="0" hidden="1"/>
    </xf>
    <xf numFmtId="0" fontId="17" fillId="0" borderId="9" xfId="0" applyFont="1" applyFill="1" applyBorder="1" applyAlignment="1" applyProtection="1">
      <alignment horizontal="left" vertical="center" indent="1"/>
      <protection locked="0" hidden="1"/>
    </xf>
    <xf numFmtId="0" fontId="17" fillId="0" borderId="11" xfId="0" applyFont="1" applyFill="1" applyBorder="1" applyAlignment="1" applyProtection="1">
      <alignment horizontal="left" vertical="center" indent="1"/>
      <protection locked="0" hidden="1"/>
    </xf>
    <xf numFmtId="168" fontId="17" fillId="0" borderId="29" xfId="0" quotePrefix="1" applyNumberFormat="1" applyFont="1" applyFill="1" applyBorder="1" applyAlignment="1" applyProtection="1">
      <alignment horizontal="right" vertical="center" indent="1"/>
      <protection locked="0" hidden="1"/>
    </xf>
    <xf numFmtId="168" fontId="17" fillId="0" borderId="28" xfId="0" applyNumberFormat="1" applyFont="1" applyFill="1" applyBorder="1" applyAlignment="1" applyProtection="1">
      <alignment horizontal="right" vertical="center" indent="1"/>
      <protection locked="0" hidden="1"/>
    </xf>
    <xf numFmtId="0" fontId="18" fillId="7" borderId="9" xfId="0" applyFont="1" applyFill="1" applyBorder="1" applyAlignment="1" applyProtection="1">
      <alignment horizontal="center" vertical="center"/>
      <protection locked="0" hidden="1"/>
    </xf>
    <xf numFmtId="0" fontId="18" fillId="7" borderId="10" xfId="0" applyFont="1" applyFill="1" applyBorder="1" applyAlignment="1" applyProtection="1">
      <alignment horizontal="center" vertical="center"/>
      <protection locked="0" hidden="1"/>
    </xf>
    <xf numFmtId="0" fontId="18" fillId="7" borderId="11" xfId="0" applyFont="1" applyFill="1" applyBorder="1" applyAlignment="1" applyProtection="1">
      <alignment horizontal="center" vertical="center"/>
      <protection locked="0" hidden="1"/>
    </xf>
    <xf numFmtId="0" fontId="18" fillId="0" borderId="9" xfId="0" applyFont="1" applyFill="1" applyBorder="1" applyAlignment="1" applyProtection="1">
      <alignment horizontal="left" vertical="center" indent="1"/>
      <protection locked="0" hidden="1"/>
    </xf>
    <xf numFmtId="0" fontId="18" fillId="0" borderId="11" xfId="0" applyFont="1" applyFill="1" applyBorder="1" applyAlignment="1" applyProtection="1">
      <alignment horizontal="left" vertical="center" indent="1"/>
      <protection locked="0" hidden="1"/>
    </xf>
    <xf numFmtId="168" fontId="17" fillId="0" borderId="9" xfId="0" applyNumberFormat="1" applyFont="1" applyFill="1" applyBorder="1" applyAlignment="1" applyProtection="1">
      <alignment horizontal="right" vertical="center" indent="1"/>
      <protection locked="0" hidden="1"/>
    </xf>
    <xf numFmtId="168" fontId="17" fillId="0" borderId="11" xfId="0" applyNumberFormat="1" applyFont="1" applyFill="1" applyBorder="1" applyAlignment="1" applyProtection="1">
      <alignment horizontal="right" vertical="center" indent="1"/>
      <protection locked="0" hidden="1"/>
    </xf>
    <xf numFmtId="0" fontId="17" fillId="0" borderId="35" xfId="0" applyFont="1" applyFill="1" applyBorder="1" applyAlignment="1" applyProtection="1">
      <alignment horizontal="left" vertical="center" wrapText="1" indent="1"/>
      <protection locked="0" hidden="1"/>
    </xf>
    <xf numFmtId="0" fontId="17" fillId="0" borderId="36" xfId="0" applyFont="1" applyFill="1" applyBorder="1" applyAlignment="1" applyProtection="1">
      <alignment horizontal="left" vertical="center" wrapText="1" indent="1"/>
      <protection locked="0" hidden="1"/>
    </xf>
    <xf numFmtId="0" fontId="14" fillId="7" borderId="9" xfId="4" applyFont="1" applyFill="1" applyBorder="1" applyAlignment="1" applyProtection="1">
      <alignment horizontal="left" vertical="center" indent="1"/>
      <protection locked="0" hidden="1"/>
    </xf>
    <xf numFmtId="0" fontId="14" fillId="7" borderId="10" xfId="4" applyFont="1" applyFill="1" applyBorder="1" applyAlignment="1" applyProtection="1">
      <alignment horizontal="left" vertical="center" indent="1"/>
      <protection locked="0" hidden="1"/>
    </xf>
    <xf numFmtId="0" fontId="14" fillId="7" borderId="11" xfId="4" applyFont="1" applyFill="1" applyBorder="1" applyAlignment="1" applyProtection="1">
      <alignment horizontal="left" vertical="center" indent="1"/>
      <protection locked="0" hidden="1"/>
    </xf>
    <xf numFmtId="0" fontId="17" fillId="0" borderId="15" xfId="0" applyFont="1" applyFill="1" applyBorder="1" applyAlignment="1" applyProtection="1">
      <alignment horizontal="right" vertical="center" indent="1"/>
      <protection locked="0" hidden="1"/>
    </xf>
    <xf numFmtId="168" fontId="17" fillId="13" borderId="35" xfId="0" applyNumberFormat="1" applyFont="1" applyFill="1" applyBorder="1" applyAlignment="1" applyProtection="1">
      <alignment horizontal="right" vertical="center"/>
      <protection locked="0" hidden="1"/>
    </xf>
    <xf numFmtId="168" fontId="17" fillId="13" borderId="45" xfId="0" applyNumberFormat="1" applyFont="1" applyFill="1" applyBorder="1" applyAlignment="1" applyProtection="1">
      <alignment horizontal="right" vertical="center"/>
      <protection locked="0" hidden="1"/>
    </xf>
    <xf numFmtId="0" fontId="17" fillId="0" borderId="30" xfId="0" applyFont="1" applyFill="1" applyBorder="1" applyAlignment="1" applyProtection="1">
      <alignment horizontal="left" vertical="center" indent="1"/>
      <protection locked="0" hidden="1"/>
    </xf>
    <xf numFmtId="0" fontId="17" fillId="0" borderId="29" xfId="0" applyFont="1" applyFill="1" applyBorder="1" applyAlignment="1" applyProtection="1">
      <alignment horizontal="left" vertical="center" indent="1"/>
      <protection locked="0" hidden="1"/>
    </xf>
    <xf numFmtId="0" fontId="18" fillId="7" borderId="163" xfId="0" applyFont="1" applyFill="1" applyBorder="1" applyAlignment="1" applyProtection="1">
      <alignment horizontal="center" vertical="center"/>
      <protection locked="0" hidden="1"/>
    </xf>
    <xf numFmtId="0" fontId="18" fillId="7" borderId="150" xfId="0" applyFont="1" applyFill="1" applyBorder="1" applyAlignment="1" applyProtection="1">
      <alignment horizontal="center" vertical="center"/>
      <protection locked="0" hidden="1"/>
    </xf>
    <xf numFmtId="0" fontId="18" fillId="7" borderId="159" xfId="0" applyFont="1" applyFill="1" applyBorder="1" applyAlignment="1" applyProtection="1">
      <alignment horizontal="center" vertical="center"/>
      <protection locked="0" hidden="1"/>
    </xf>
    <xf numFmtId="0" fontId="18" fillId="0" borderId="163" xfId="0" applyFont="1" applyFill="1" applyBorder="1" applyAlignment="1" applyProtection="1">
      <alignment horizontal="right" vertical="center" indent="1"/>
      <protection locked="0" hidden="1"/>
    </xf>
    <xf numFmtId="0" fontId="18" fillId="0" borderId="159" xfId="0" applyFont="1" applyFill="1" applyBorder="1" applyAlignment="1" applyProtection="1">
      <alignment horizontal="right" vertical="center" indent="1"/>
      <protection locked="0" hidden="1"/>
    </xf>
    <xf numFmtId="0" fontId="17" fillId="0" borderId="19" xfId="0" applyFont="1" applyFill="1" applyBorder="1" applyAlignment="1" applyProtection="1">
      <alignment horizontal="left" vertical="center" indent="1"/>
      <protection locked="0" hidden="1"/>
    </xf>
    <xf numFmtId="0" fontId="17" fillId="0" borderId="20" xfId="0" applyFont="1" applyFill="1" applyBorder="1" applyAlignment="1" applyProtection="1">
      <alignment horizontal="left" vertical="center" indent="1"/>
      <protection locked="0" hidden="1"/>
    </xf>
    <xf numFmtId="168" fontId="17" fillId="0" borderId="20" xfId="0" quotePrefix="1" applyNumberFormat="1" applyFont="1" applyFill="1" applyBorder="1" applyAlignment="1" applyProtection="1">
      <alignment horizontal="right" vertical="center" indent="1"/>
      <protection locked="0" hidden="1"/>
    </xf>
    <xf numFmtId="168" fontId="17" fillId="0" borderId="21" xfId="0" applyNumberFormat="1" applyFont="1" applyFill="1" applyBorder="1" applyAlignment="1" applyProtection="1">
      <alignment horizontal="right" vertical="center" indent="1"/>
      <protection locked="0" hidden="1"/>
    </xf>
    <xf numFmtId="0" fontId="4" fillId="13" borderId="139" xfId="4" applyFont="1" applyFill="1" applyBorder="1" applyAlignment="1" applyProtection="1">
      <alignment horizontal="center" vertical="center"/>
      <protection locked="0"/>
    </xf>
    <xf numFmtId="0" fontId="14" fillId="6" borderId="9" xfId="4" applyFont="1" applyFill="1" applyBorder="1" applyAlignment="1" applyProtection="1">
      <alignment horizontal="left" vertical="center" indent="1"/>
      <protection locked="0" hidden="1"/>
    </xf>
    <xf numFmtId="0" fontId="14" fillId="6" borderId="11" xfId="4" applyFont="1" applyFill="1" applyBorder="1" applyAlignment="1" applyProtection="1">
      <alignment horizontal="left" vertical="center" indent="1"/>
      <protection locked="0" hidden="1"/>
    </xf>
    <xf numFmtId="0" fontId="14" fillId="6" borderId="15" xfId="4" applyFont="1" applyFill="1" applyBorder="1" applyAlignment="1" applyProtection="1">
      <alignment horizontal="left" vertical="center" indent="1"/>
      <protection locked="0" hidden="1"/>
    </xf>
    <xf numFmtId="0" fontId="4" fillId="13" borderId="149" xfId="4" applyFont="1" applyFill="1" applyBorder="1" applyAlignment="1" applyProtection="1">
      <alignment horizontal="center" vertical="center"/>
      <protection locked="0" hidden="1"/>
    </xf>
    <xf numFmtId="0" fontId="4" fillId="13" borderId="159" xfId="4" applyFont="1" applyFill="1" applyBorder="1" applyAlignment="1" applyProtection="1">
      <alignment horizontal="center" vertical="center"/>
      <protection locked="0" hidden="1"/>
    </xf>
    <xf numFmtId="0" fontId="24" fillId="7" borderId="137" xfId="4" applyFont="1" applyFill="1" applyBorder="1" applyAlignment="1" applyProtection="1">
      <alignment horizontal="center" vertical="center"/>
      <protection locked="0" hidden="1"/>
    </xf>
    <xf numFmtId="0" fontId="24" fillId="7" borderId="133" xfId="4" applyFont="1" applyFill="1" applyBorder="1" applyAlignment="1" applyProtection="1">
      <alignment horizontal="center" vertical="center"/>
      <protection locked="0" hidden="1"/>
    </xf>
    <xf numFmtId="0" fontId="24" fillId="7" borderId="134" xfId="4" applyFont="1" applyFill="1" applyBorder="1" applyAlignment="1" applyProtection="1">
      <alignment horizontal="center" vertical="center"/>
      <protection locked="0" hidden="1"/>
    </xf>
    <xf numFmtId="0" fontId="24" fillId="7" borderId="131" xfId="4" applyFont="1" applyFill="1" applyBorder="1" applyAlignment="1" applyProtection="1">
      <alignment horizontal="center" vertical="center"/>
      <protection locked="0" hidden="1"/>
    </xf>
    <xf numFmtId="0" fontId="14" fillId="7" borderId="137" xfId="4" applyFont="1" applyFill="1" applyBorder="1" applyAlignment="1" applyProtection="1">
      <alignment horizontal="center" vertical="center"/>
      <protection locked="0" hidden="1"/>
    </xf>
    <xf numFmtId="0" fontId="14" fillId="12" borderId="53" xfId="4" applyFont="1" applyFill="1" applyBorder="1" applyAlignment="1" applyProtection="1">
      <alignment horizontal="center" vertical="center"/>
      <protection locked="0" hidden="1"/>
    </xf>
    <xf numFmtId="0" fontId="4" fillId="13" borderId="129" xfId="4" applyFont="1" applyFill="1" applyBorder="1" applyAlignment="1" applyProtection="1">
      <alignment horizontal="center" vertical="center"/>
      <protection locked="0" hidden="1"/>
    </xf>
    <xf numFmtId="0" fontId="15" fillId="13" borderId="57" xfId="4" applyFont="1" applyFill="1" applyBorder="1" applyAlignment="1" applyProtection="1">
      <alignment horizontal="center" vertical="center"/>
      <protection locked="0" hidden="1"/>
    </xf>
    <xf numFmtId="0" fontId="15" fillId="13" borderId="45" xfId="4" applyFont="1" applyFill="1" applyBorder="1" applyAlignment="1" applyProtection="1">
      <alignment horizontal="center" vertical="center"/>
      <protection locked="0" hidden="1"/>
    </xf>
    <xf numFmtId="0" fontId="15" fillId="13" borderId="16" xfId="4" applyFont="1" applyFill="1" applyBorder="1" applyAlignment="1" applyProtection="1">
      <alignment horizontal="center" vertical="center"/>
      <protection locked="0" hidden="1"/>
    </xf>
    <xf numFmtId="0" fontId="14" fillId="7" borderId="44" xfId="4" applyFont="1" applyFill="1" applyBorder="1" applyAlignment="1" applyProtection="1">
      <alignment horizontal="center" vertical="center" wrapText="1"/>
      <protection locked="0" hidden="1"/>
    </xf>
    <xf numFmtId="168" fontId="18" fillId="0" borderId="9" xfId="0" applyNumberFormat="1" applyFont="1" applyFill="1" applyBorder="1" applyAlignment="1" applyProtection="1">
      <alignment horizontal="right" vertical="center" indent="1"/>
      <protection locked="0" hidden="1"/>
    </xf>
    <xf numFmtId="168" fontId="18" fillId="0" borderId="11" xfId="0" applyNumberFormat="1" applyFont="1" applyFill="1" applyBorder="1" applyAlignment="1" applyProtection="1">
      <alignment horizontal="right" vertical="center" indent="1"/>
      <protection locked="0" hidden="1"/>
    </xf>
    <xf numFmtId="168" fontId="17" fillId="0" borderId="34" xfId="0" applyNumberFormat="1" applyFont="1" applyFill="1" applyBorder="1" applyAlignment="1" applyProtection="1">
      <alignment horizontal="right" vertical="center" indent="1"/>
      <protection locked="0" hidden="1"/>
    </xf>
    <xf numFmtId="0" fontId="17" fillId="11" borderId="34" xfId="0" applyFont="1" applyFill="1" applyBorder="1" applyAlignment="1" applyProtection="1">
      <alignment horizontal="left" vertical="center" indent="1"/>
      <protection locked="0" hidden="1"/>
    </xf>
    <xf numFmtId="168" fontId="17" fillId="11" borderId="34" xfId="0" quotePrefix="1" applyNumberFormat="1" applyFont="1" applyFill="1" applyBorder="1" applyAlignment="1" applyProtection="1">
      <alignment horizontal="right" vertical="center" indent="1"/>
      <protection locked="0" hidden="1"/>
    </xf>
    <xf numFmtId="168" fontId="17" fillId="11" borderId="34" xfId="0" applyNumberFormat="1" applyFont="1" applyFill="1" applyBorder="1" applyAlignment="1" applyProtection="1">
      <alignment horizontal="right" vertical="center" indent="1"/>
      <protection locked="0" hidden="1"/>
    </xf>
    <xf numFmtId="0" fontId="17" fillId="0" borderId="98" xfId="0" applyFont="1" applyBorder="1" applyAlignment="1" applyProtection="1">
      <alignment horizontal="right" vertical="center" indent="1"/>
      <protection locked="0" hidden="1"/>
    </xf>
    <xf numFmtId="0" fontId="17" fillId="0" borderId="108" xfId="0" applyFont="1" applyFill="1" applyBorder="1" applyAlignment="1" applyProtection="1">
      <alignment horizontal="right" vertical="center" indent="1"/>
      <protection locked="0" hidden="1"/>
    </xf>
    <xf numFmtId="0" fontId="17" fillId="0" borderId="109" xfId="0" applyFont="1" applyFill="1" applyBorder="1" applyAlignment="1" applyProtection="1">
      <alignment horizontal="right" vertical="center" indent="1"/>
      <protection locked="0" hidden="1"/>
    </xf>
    <xf numFmtId="0" fontId="17" fillId="0" borderId="10" xfId="0" applyFont="1" applyFill="1" applyBorder="1" applyAlignment="1" applyProtection="1">
      <alignment horizontal="left" vertical="center" indent="1"/>
      <protection locked="0" hidden="1"/>
    </xf>
    <xf numFmtId="0" fontId="14" fillId="7" borderId="104" xfId="4" applyFont="1" applyFill="1" applyBorder="1" applyAlignment="1" applyProtection="1">
      <alignment horizontal="center" vertical="center" wrapText="1"/>
      <protection locked="0" hidden="1"/>
    </xf>
    <xf numFmtId="0" fontId="14" fillId="7" borderId="79" xfId="4" applyFont="1" applyFill="1" applyBorder="1" applyAlignment="1" applyProtection="1">
      <alignment horizontal="center" vertical="center" wrapText="1"/>
      <protection locked="0" hidden="1"/>
    </xf>
    <xf numFmtId="0" fontId="4" fillId="13" borderId="104" xfId="4" applyFont="1" applyFill="1" applyBorder="1" applyAlignment="1" applyProtection="1">
      <alignment horizontal="center" vertical="center"/>
      <protection locked="0" hidden="1"/>
    </xf>
    <xf numFmtId="0" fontId="4" fillId="13" borderId="79" xfId="4" applyFont="1" applyFill="1" applyBorder="1" applyAlignment="1" applyProtection="1">
      <alignment horizontal="center" vertical="center"/>
      <protection locked="0" hidden="1"/>
    </xf>
    <xf numFmtId="0" fontId="14" fillId="7" borderId="127" xfId="4" applyFont="1" applyFill="1" applyBorder="1" applyAlignment="1" applyProtection="1">
      <alignment horizontal="center" vertical="center" wrapText="1"/>
      <protection locked="0" hidden="1"/>
    </xf>
    <xf numFmtId="0" fontId="17" fillId="0" borderId="34" xfId="0" applyFont="1" applyFill="1" applyBorder="1" applyAlignment="1" applyProtection="1">
      <alignment horizontal="left" vertical="center" indent="1"/>
      <protection locked="0" hidden="1"/>
    </xf>
    <xf numFmtId="0" fontId="14" fillId="7" borderId="15" xfId="4" applyFont="1" applyFill="1" applyBorder="1" applyAlignment="1" applyProtection="1">
      <alignment horizontal="left" vertical="center" indent="1"/>
      <protection locked="0" hidden="1"/>
    </xf>
    <xf numFmtId="0" fontId="14" fillId="7" borderId="54" xfId="4" applyFont="1" applyFill="1" applyBorder="1" applyAlignment="1" applyProtection="1">
      <alignment horizontal="left" vertical="center" indent="1"/>
      <protection locked="0" hidden="1"/>
    </xf>
    <xf numFmtId="0" fontId="11" fillId="0" borderId="9" xfId="0" quotePrefix="1" applyFont="1" applyBorder="1" applyAlignment="1" applyProtection="1">
      <alignment horizontal="right" vertical="center" indent="1"/>
      <protection locked="0" hidden="1"/>
    </xf>
    <xf numFmtId="0" fontId="11" fillId="0" borderId="11" xfId="0" applyFont="1" applyBorder="1" applyAlignment="1" applyProtection="1">
      <alignment horizontal="right" vertical="center" indent="1"/>
      <protection locked="0" hidden="1"/>
    </xf>
    <xf numFmtId="0" fontId="18" fillId="4" borderId="15" xfId="0" applyFont="1" applyFill="1" applyBorder="1" applyAlignment="1" applyProtection="1">
      <alignment horizontal="center" vertical="center"/>
      <protection locked="0" hidden="1"/>
    </xf>
    <xf numFmtId="0" fontId="18" fillId="0" borderId="34" xfId="0" applyFont="1" applyFill="1" applyBorder="1" applyAlignment="1" applyProtection="1">
      <alignment horizontal="left" vertical="center" indent="1"/>
      <protection locked="0" hidden="1"/>
    </xf>
    <xf numFmtId="168" fontId="18" fillId="0" borderId="34" xfId="0" applyNumberFormat="1" applyFont="1" applyFill="1" applyBorder="1" applyAlignment="1" applyProtection="1">
      <alignment horizontal="right" vertical="center" indent="1"/>
      <protection locked="0" hidden="1"/>
    </xf>
    <xf numFmtId="14" fontId="15" fillId="13" borderId="57" xfId="4" applyNumberFormat="1" applyFont="1" applyFill="1" applyBorder="1" applyAlignment="1" applyProtection="1">
      <alignment horizontal="center" vertical="center"/>
      <protection locked="0" hidden="1"/>
    </xf>
    <xf numFmtId="14" fontId="15" fillId="13" borderId="45" xfId="4" applyNumberFormat="1" applyFont="1" applyFill="1" applyBorder="1" applyAlignment="1" applyProtection="1">
      <alignment horizontal="center" vertical="center"/>
      <protection locked="0" hidden="1"/>
    </xf>
    <xf numFmtId="14" fontId="15" fillId="13" borderId="16" xfId="4" applyNumberFormat="1" applyFont="1" applyFill="1" applyBorder="1" applyAlignment="1" applyProtection="1">
      <alignment horizontal="center" vertical="center"/>
      <protection locked="0" hidden="1"/>
    </xf>
    <xf numFmtId="0" fontId="15" fillId="0" borderId="15" xfId="4" applyFont="1" applyBorder="1" applyAlignment="1" applyProtection="1">
      <alignment horizontal="left" vertical="center" indent="1"/>
      <protection locked="0" hidden="1"/>
    </xf>
    <xf numFmtId="0" fontId="41" fillId="13" borderId="15" xfId="4" applyFont="1" applyFill="1" applyBorder="1" applyAlignment="1" applyProtection="1">
      <alignment horizontal="left" vertical="center" indent="1"/>
      <protection locked="0" hidden="1"/>
    </xf>
    <xf numFmtId="0" fontId="14" fillId="7" borderId="139" xfId="4" applyFont="1" applyFill="1" applyBorder="1" applyAlignment="1" applyProtection="1">
      <alignment horizontal="center" vertical="center" wrapText="1"/>
      <protection locked="0" hidden="1"/>
    </xf>
    <xf numFmtId="168" fontId="18" fillId="0" borderId="163" xfId="0" applyNumberFormat="1" applyFont="1" applyFill="1" applyBorder="1" applyAlignment="1" applyProtection="1">
      <alignment horizontal="right" vertical="center" indent="1"/>
      <protection locked="0" hidden="1"/>
    </xf>
    <xf numFmtId="168" fontId="18" fillId="0" borderId="159" xfId="0" applyNumberFormat="1" applyFont="1" applyFill="1" applyBorder="1" applyAlignment="1" applyProtection="1">
      <alignment horizontal="right" vertical="center" indent="1"/>
      <protection locked="0" hidden="1"/>
    </xf>
    <xf numFmtId="0" fontId="15" fillId="7" borderId="9" xfId="4" applyFont="1" applyFill="1" applyBorder="1" applyAlignment="1" applyProtection="1">
      <alignment horizontal="left" vertical="center" indent="1"/>
      <protection locked="0" hidden="1"/>
    </xf>
    <xf numFmtId="0" fontId="15" fillId="7" borderId="10" xfId="4" applyFont="1" applyFill="1" applyBorder="1" applyAlignment="1" applyProtection="1">
      <alignment horizontal="left" vertical="center" indent="1"/>
      <protection locked="0" hidden="1"/>
    </xf>
    <xf numFmtId="0" fontId="15" fillId="7" borderId="11" xfId="4" applyFont="1" applyFill="1" applyBorder="1" applyAlignment="1" applyProtection="1">
      <alignment horizontal="left" vertical="center" indent="1"/>
      <protection locked="0" hidden="1"/>
    </xf>
    <xf numFmtId="169" fontId="17" fillId="13" borderId="160" xfId="0" applyNumberFormat="1" applyFont="1" applyFill="1" applyBorder="1" applyAlignment="1" applyProtection="1">
      <alignment horizontal="right" vertical="center" indent="1"/>
      <protection locked="0" hidden="1"/>
    </xf>
    <xf numFmtId="169" fontId="17" fillId="0" borderId="102" xfId="0" applyNumberFormat="1" applyFont="1" applyFill="1" applyBorder="1" applyAlignment="1" applyProtection="1">
      <alignment horizontal="left" vertical="center" indent="1"/>
      <protection locked="0" hidden="1"/>
    </xf>
    <xf numFmtId="169" fontId="17" fillId="0" borderId="45" xfId="0" applyNumberFormat="1" applyFont="1" applyFill="1" applyBorder="1" applyAlignment="1" applyProtection="1">
      <alignment horizontal="left" vertical="center" indent="1"/>
      <protection locked="0" hidden="1"/>
    </xf>
    <xf numFmtId="169" fontId="17" fillId="0" borderId="16" xfId="0" applyNumberFormat="1" applyFont="1" applyFill="1" applyBorder="1" applyAlignment="1" applyProtection="1">
      <alignment horizontal="left" vertical="center" indent="1"/>
      <protection locked="0" hidden="1"/>
    </xf>
    <xf numFmtId="0" fontId="15" fillId="0" borderId="102" xfId="4" applyFont="1" applyBorder="1" applyAlignment="1" applyProtection="1">
      <alignment horizontal="left" vertical="center" indent="1"/>
      <protection locked="0" hidden="1"/>
    </xf>
    <xf numFmtId="0" fontId="15" fillId="0" borderId="45" xfId="4" applyFont="1" applyBorder="1" applyAlignment="1" applyProtection="1">
      <alignment horizontal="left" vertical="center" indent="1"/>
      <protection locked="0" hidden="1"/>
    </xf>
    <xf numFmtId="0" fontId="15" fillId="0" borderId="16" xfId="4" applyFont="1" applyBorder="1" applyAlignment="1" applyProtection="1">
      <alignment horizontal="left" vertical="center" indent="1"/>
      <protection locked="0" hidden="1"/>
    </xf>
    <xf numFmtId="0" fontId="14" fillId="7" borderId="99" xfId="4" applyFont="1" applyFill="1" applyBorder="1" applyAlignment="1" applyProtection="1">
      <alignment horizontal="center" vertical="center"/>
      <protection locked="0" hidden="1"/>
    </xf>
    <xf numFmtId="0" fontId="14" fillId="7" borderId="101" xfId="4" applyFont="1" applyFill="1" applyBorder="1" applyAlignment="1" applyProtection="1">
      <alignment horizontal="center" vertical="center"/>
      <protection locked="0" hidden="1"/>
    </xf>
    <xf numFmtId="0" fontId="72" fillId="12" borderId="99" xfId="4" applyFont="1" applyFill="1" applyBorder="1" applyAlignment="1" applyProtection="1">
      <alignment horizontal="center" vertical="center"/>
      <protection locked="0" hidden="1"/>
    </xf>
    <xf numFmtId="0" fontId="72" fillId="12" borderId="101" xfId="4" applyFont="1" applyFill="1" applyBorder="1" applyAlignment="1" applyProtection="1">
      <alignment horizontal="center" vertical="center"/>
      <protection locked="0" hidden="1"/>
    </xf>
    <xf numFmtId="169" fontId="17" fillId="13" borderId="99" xfId="0" applyNumberFormat="1" applyFont="1" applyFill="1" applyBorder="1" applyAlignment="1" applyProtection="1">
      <alignment horizontal="right" vertical="center" indent="1"/>
      <protection locked="0" hidden="1"/>
    </xf>
    <xf numFmtId="168" fontId="17" fillId="0" borderId="104" xfId="0" applyNumberFormat="1" applyFont="1" applyFill="1" applyBorder="1" applyAlignment="1" applyProtection="1">
      <alignment horizontal="center" vertical="center"/>
      <protection locked="0" hidden="1"/>
    </xf>
    <xf numFmtId="168" fontId="17" fillId="0" borderId="6" xfId="0" applyNumberFormat="1" applyFont="1" applyFill="1" applyBorder="1" applyAlignment="1" applyProtection="1">
      <alignment horizontal="center" vertical="center"/>
      <protection locked="0" hidden="1"/>
    </xf>
    <xf numFmtId="0" fontId="14" fillId="7" borderId="98" xfId="4" applyFont="1" applyFill="1" applyBorder="1" applyAlignment="1" applyProtection="1">
      <alignment horizontal="center" vertical="center"/>
      <protection locked="0" hidden="1"/>
    </xf>
    <xf numFmtId="169" fontId="17" fillId="0" borderId="42" xfId="0" applyNumberFormat="1" applyFont="1" applyFill="1" applyBorder="1" applyAlignment="1" applyProtection="1">
      <alignment horizontal="left" vertical="center" indent="1"/>
      <protection locked="0" hidden="1"/>
    </xf>
    <xf numFmtId="169" fontId="17" fillId="0" borderId="41" xfId="0" applyNumberFormat="1" applyFont="1" applyFill="1" applyBorder="1" applyAlignment="1" applyProtection="1">
      <alignment horizontal="left" vertical="center" indent="1"/>
      <protection locked="0" hidden="1"/>
    </xf>
    <xf numFmtId="169" fontId="17" fillId="0" borderId="6" xfId="0" applyNumberFormat="1" applyFont="1" applyFill="1" applyBorder="1" applyAlignment="1" applyProtection="1">
      <alignment horizontal="left" vertical="center" indent="1"/>
      <protection locked="0" hidden="1"/>
    </xf>
    <xf numFmtId="169" fontId="17" fillId="0" borderId="14" xfId="0" applyNumberFormat="1" applyFont="1" applyFill="1" applyBorder="1" applyAlignment="1" applyProtection="1">
      <alignment horizontal="left" vertical="center" indent="1"/>
      <protection locked="0" hidden="1"/>
    </xf>
    <xf numFmtId="187" fontId="15" fillId="0" borderId="102" xfId="4" applyNumberFormat="1" applyFont="1" applyBorder="1" applyAlignment="1" applyProtection="1">
      <alignment horizontal="right" vertical="center" indent="1"/>
      <protection locked="0" hidden="1"/>
    </xf>
    <xf numFmtId="187" fontId="15" fillId="0" borderId="45" xfId="4" applyNumberFormat="1" applyFont="1" applyBorder="1" applyAlignment="1" applyProtection="1">
      <alignment horizontal="right" vertical="center" indent="1"/>
      <protection locked="0" hidden="1"/>
    </xf>
    <xf numFmtId="187" fontId="15" fillId="0" borderId="16" xfId="4" applyNumberFormat="1" applyFont="1" applyBorder="1" applyAlignment="1" applyProtection="1">
      <alignment horizontal="right" vertical="center" indent="1"/>
      <protection locked="0" hidden="1"/>
    </xf>
    <xf numFmtId="0" fontId="15" fillId="0" borderId="160" xfId="4" applyFont="1" applyBorder="1" applyAlignment="1" applyProtection="1">
      <alignment horizontal="center" vertical="center" wrapText="1"/>
      <protection locked="0" hidden="1"/>
    </xf>
    <xf numFmtId="0" fontId="42" fillId="19" borderId="144" xfId="4" applyFont="1" applyFill="1" applyBorder="1" applyAlignment="1" applyProtection="1">
      <alignment horizontal="left" vertical="center" indent="1"/>
      <protection locked="0" hidden="1"/>
    </xf>
    <xf numFmtId="0" fontId="42" fillId="19" borderId="145" xfId="4" applyFont="1" applyFill="1" applyBorder="1" applyAlignment="1" applyProtection="1">
      <alignment horizontal="left" vertical="center" indent="1"/>
      <protection locked="0" hidden="1"/>
    </xf>
    <xf numFmtId="0" fontId="52" fillId="7" borderId="102" xfId="4" applyFont="1" applyFill="1" applyBorder="1" applyAlignment="1" applyProtection="1">
      <alignment horizontal="left" vertical="center" indent="1"/>
      <protection locked="0" hidden="1"/>
    </xf>
    <xf numFmtId="0" fontId="52" fillId="7" borderId="16" xfId="4" applyFont="1" applyFill="1" applyBorder="1" applyAlignment="1" applyProtection="1">
      <alignment horizontal="left" vertical="center" indent="1"/>
      <protection locked="0" hidden="1"/>
    </xf>
    <xf numFmtId="0" fontId="87" fillId="0" borderId="144" xfId="4" applyFont="1" applyBorder="1" applyAlignment="1" applyProtection="1">
      <alignment horizontal="center" vertical="center"/>
      <protection locked="0" hidden="1"/>
    </xf>
    <xf numFmtId="0" fontId="87" fillId="0" borderId="145" xfId="4" applyFont="1" applyBorder="1" applyAlignment="1" applyProtection="1">
      <alignment horizontal="center" vertical="center"/>
      <protection locked="0" hidden="1"/>
    </xf>
    <xf numFmtId="0" fontId="15" fillId="0" borderId="104" xfId="4" applyFont="1" applyBorder="1" applyAlignment="1" applyProtection="1">
      <alignment horizontal="center" vertical="center" wrapText="1"/>
      <protection locked="0" hidden="1"/>
    </xf>
    <xf numFmtId="0" fontId="15" fillId="0" borderId="103" xfId="4" applyFont="1" applyBorder="1" applyAlignment="1" applyProtection="1">
      <alignment horizontal="center" vertical="center" wrapText="1"/>
      <protection locked="0" hidden="1"/>
    </xf>
    <xf numFmtId="0" fontId="15" fillId="0" borderId="79" xfId="4" applyFont="1" applyBorder="1" applyAlignment="1" applyProtection="1">
      <alignment horizontal="center" vertical="center" wrapText="1"/>
      <protection locked="0" hidden="1"/>
    </xf>
    <xf numFmtId="0" fontId="15" fillId="0" borderId="50" xfId="4" applyFont="1" applyBorder="1" applyAlignment="1" applyProtection="1">
      <alignment horizontal="center" vertical="center" wrapText="1"/>
      <protection locked="0" hidden="1"/>
    </xf>
    <xf numFmtId="0" fontId="15" fillId="0" borderId="0" xfId="4" applyFont="1" applyBorder="1" applyAlignment="1" applyProtection="1">
      <alignment horizontal="center" vertical="center" wrapText="1"/>
      <protection locked="0" hidden="1"/>
    </xf>
    <xf numFmtId="0" fontId="15" fillId="0" borderId="5" xfId="4" applyFont="1" applyBorder="1" applyAlignment="1" applyProtection="1">
      <alignment horizontal="center" vertical="center" wrapText="1"/>
      <protection locked="0" hidden="1"/>
    </xf>
    <xf numFmtId="0" fontId="15" fillId="0" borderId="6" xfId="4" applyFont="1" applyBorder="1" applyAlignment="1" applyProtection="1">
      <alignment horizontal="center" vertical="center" wrapText="1"/>
      <protection locked="0" hidden="1"/>
    </xf>
    <xf numFmtId="0" fontId="15" fillId="0" borderId="13" xfId="4" applyFont="1" applyBorder="1" applyAlignment="1" applyProtection="1">
      <alignment horizontal="center" vertical="center" wrapText="1"/>
      <protection locked="0" hidden="1"/>
    </xf>
    <xf numFmtId="0" fontId="15" fillId="0" borderId="14" xfId="4" applyFont="1" applyBorder="1" applyAlignment="1" applyProtection="1">
      <alignment horizontal="center" vertical="center" wrapText="1"/>
      <protection locked="0" hidden="1"/>
    </xf>
    <xf numFmtId="0" fontId="4" fillId="0" borderId="26" xfId="4" quotePrefix="1" applyFont="1" applyBorder="1" applyAlignment="1" applyProtection="1">
      <alignment horizontal="left" vertical="center" indent="1"/>
      <protection locked="0" hidden="1"/>
    </xf>
    <xf numFmtId="0" fontId="14" fillId="7" borderId="104" xfId="4" applyFont="1" applyFill="1" applyBorder="1" applyAlignment="1" applyProtection="1">
      <alignment horizontal="center" vertical="center"/>
      <protection locked="0" hidden="1"/>
    </xf>
    <xf numFmtId="0" fontId="14" fillId="7" borderId="79" xfId="4" applyFont="1" applyFill="1" applyBorder="1" applyAlignment="1" applyProtection="1">
      <alignment horizontal="center" vertical="center"/>
      <protection locked="0" hidden="1"/>
    </xf>
    <xf numFmtId="0" fontId="14" fillId="7" borderId="50" xfId="4" applyFont="1" applyFill="1" applyBorder="1" applyAlignment="1" applyProtection="1">
      <alignment horizontal="center" vertical="center"/>
      <protection locked="0" hidden="1"/>
    </xf>
    <xf numFmtId="0" fontId="14" fillId="7" borderId="5" xfId="4" applyFont="1" applyFill="1" applyBorder="1" applyAlignment="1" applyProtection="1">
      <alignment horizontal="center" vertical="center"/>
      <protection locked="0" hidden="1"/>
    </xf>
    <xf numFmtId="0" fontId="14" fillId="7" borderId="6" xfId="4" applyFont="1" applyFill="1" applyBorder="1" applyAlignment="1" applyProtection="1">
      <alignment horizontal="center" vertical="center"/>
      <protection locked="0" hidden="1"/>
    </xf>
    <xf numFmtId="0" fontId="14" fillId="7" borderId="14" xfId="4" applyFont="1" applyFill="1" applyBorder="1" applyAlignment="1" applyProtection="1">
      <alignment horizontal="center" vertical="center"/>
      <protection locked="0" hidden="1"/>
    </xf>
    <xf numFmtId="0" fontId="42" fillId="19" borderId="137" xfId="4" applyFont="1" applyFill="1" applyBorder="1" applyAlignment="1" applyProtection="1">
      <alignment horizontal="left" vertical="center" indent="1"/>
      <protection locked="0" hidden="1"/>
    </xf>
    <xf numFmtId="0" fontId="14" fillId="7" borderId="160" xfId="4" applyFont="1" applyFill="1" applyBorder="1" applyAlignment="1" applyProtection="1">
      <alignment horizontal="center" vertical="center"/>
      <protection locked="0" hidden="1"/>
    </xf>
    <xf numFmtId="0" fontId="14" fillId="7" borderId="160" xfId="4" applyFont="1" applyFill="1" applyBorder="1" applyAlignment="1" applyProtection="1">
      <alignment horizontal="left" vertical="center" indent="1"/>
      <protection locked="0" hidden="1"/>
    </xf>
    <xf numFmtId="0" fontId="15" fillId="0" borderId="50" xfId="4" applyFont="1" applyBorder="1" applyAlignment="1" applyProtection="1">
      <alignment horizontal="left" vertical="center" wrapText="1" indent="1"/>
      <protection locked="0" hidden="1"/>
    </xf>
    <xf numFmtId="0" fontId="15" fillId="0" borderId="0" xfId="4" applyFont="1" applyBorder="1" applyAlignment="1" applyProtection="1">
      <alignment horizontal="left" vertical="center" wrapText="1" indent="1"/>
      <protection locked="0" hidden="1"/>
    </xf>
    <xf numFmtId="0" fontId="15" fillId="0" borderId="5" xfId="4" applyFont="1" applyBorder="1" applyAlignment="1" applyProtection="1">
      <alignment horizontal="left" vertical="center" wrapText="1" indent="1"/>
      <protection locked="0" hidden="1"/>
    </xf>
    <xf numFmtId="0" fontId="15" fillId="0" borderId="160" xfId="4" applyFont="1" applyBorder="1" applyAlignment="1" applyProtection="1">
      <alignment horizontal="left" vertical="center" wrapText="1" indent="1"/>
      <protection locked="0" hidden="1"/>
    </xf>
    <xf numFmtId="0" fontId="66" fillId="17" borderId="108" xfId="4" applyFont="1" applyFill="1" applyBorder="1" applyAlignment="1" applyProtection="1">
      <alignment horizontal="center" vertical="center"/>
      <protection locked="0"/>
    </xf>
    <xf numFmtId="0" fontId="66" fillId="17" borderId="114" xfId="4" applyFont="1" applyFill="1" applyBorder="1" applyAlignment="1" applyProtection="1">
      <alignment horizontal="center" vertical="center"/>
      <protection locked="0"/>
    </xf>
    <xf numFmtId="0" fontId="66" fillId="17" borderId="109" xfId="4" applyFont="1" applyFill="1" applyBorder="1" applyAlignment="1" applyProtection="1">
      <alignment horizontal="center" vertical="center"/>
      <protection locked="0"/>
    </xf>
    <xf numFmtId="0" fontId="1" fillId="19" borderId="16" xfId="0" applyFont="1" applyFill="1" applyBorder="1" applyAlignment="1" applyProtection="1">
      <alignment horizontal="center" vertical="center"/>
      <protection hidden="1"/>
    </xf>
    <xf numFmtId="0" fontId="1" fillId="19" borderId="113" xfId="0" applyFont="1" applyFill="1" applyBorder="1" applyAlignment="1" applyProtection="1">
      <alignment horizontal="center" vertical="center"/>
      <protection hidden="1"/>
    </xf>
    <xf numFmtId="0" fontId="1" fillId="19" borderId="45" xfId="0" applyFont="1" applyFill="1" applyBorder="1" applyAlignment="1" applyProtection="1">
      <alignment horizontal="center" vertical="center"/>
      <protection hidden="1"/>
    </xf>
    <xf numFmtId="0" fontId="95" fillId="17" borderId="130" xfId="0" applyFont="1" applyFill="1" applyBorder="1" applyAlignment="1" applyProtection="1">
      <alignment horizontal="center" vertical="center"/>
      <protection hidden="1"/>
    </xf>
    <xf numFmtId="0" fontId="95" fillId="17" borderId="132" xfId="0" applyFont="1" applyFill="1" applyBorder="1" applyAlignment="1" applyProtection="1">
      <alignment horizontal="center" vertical="center"/>
      <protection hidden="1"/>
    </xf>
    <xf numFmtId="0" fontId="95" fillId="17" borderId="131" xfId="0" applyFont="1" applyFill="1" applyBorder="1" applyAlignment="1" applyProtection="1">
      <alignment horizontal="center" vertical="center"/>
      <protection hidden="1"/>
    </xf>
    <xf numFmtId="0" fontId="93" fillId="17" borderId="130" xfId="0" applyFont="1" applyFill="1" applyBorder="1" applyAlignment="1" applyProtection="1">
      <alignment horizontal="center" vertical="center"/>
      <protection hidden="1"/>
    </xf>
    <xf numFmtId="0" fontId="93" fillId="17" borderId="131" xfId="0" applyFont="1" applyFill="1" applyBorder="1" applyAlignment="1" applyProtection="1">
      <alignment horizontal="center" vertical="center"/>
      <protection hidden="1"/>
    </xf>
    <xf numFmtId="0" fontId="93" fillId="17" borderId="104" xfId="0" applyFont="1" applyFill="1" applyBorder="1" applyAlignment="1" applyProtection="1">
      <alignment horizontal="right" vertical="center" indent="1"/>
      <protection hidden="1"/>
    </xf>
    <xf numFmtId="0" fontId="93" fillId="17" borderId="79" xfId="0" applyFont="1" applyFill="1" applyBorder="1" applyAlignment="1" applyProtection="1">
      <alignment horizontal="right" vertical="center" indent="1"/>
      <protection hidden="1"/>
    </xf>
    <xf numFmtId="0" fontId="93" fillId="17" borderId="50" xfId="0" applyFont="1" applyFill="1" applyBorder="1" applyAlignment="1" applyProtection="1">
      <alignment horizontal="right" vertical="center" indent="1"/>
      <protection hidden="1"/>
    </xf>
    <xf numFmtId="0" fontId="93" fillId="17" borderId="5" xfId="0" applyFont="1" applyFill="1" applyBorder="1" applyAlignment="1" applyProtection="1">
      <alignment horizontal="right" vertical="center" indent="1"/>
      <protection hidden="1"/>
    </xf>
    <xf numFmtId="0" fontId="93" fillId="17" borderId="6" xfId="0" applyFont="1" applyFill="1" applyBorder="1" applyAlignment="1" applyProtection="1">
      <alignment horizontal="right" vertical="center" indent="1"/>
      <protection hidden="1"/>
    </xf>
    <xf numFmtId="0" fontId="93" fillId="17" borderId="14" xfId="0" applyFont="1" applyFill="1" applyBorder="1" applyAlignment="1" applyProtection="1">
      <alignment horizontal="right" vertical="center" indent="1"/>
      <protection hidden="1"/>
    </xf>
  </cellXfs>
  <cellStyles count="5">
    <cellStyle name="FinaStandard" xfId="1"/>
    <cellStyle name="PrintWhite" xfId="2"/>
    <cellStyle name="Standard" xfId="0" builtinId="0"/>
    <cellStyle name="Standard 2" xfId="3"/>
    <cellStyle name="Standard 2 2" xfId="4"/>
  </cellStyles>
  <dxfs count="187">
    <dxf>
      <font>
        <b val="0"/>
        <i val="0"/>
        <color theme="2"/>
      </font>
    </dxf>
    <dxf>
      <fill>
        <patternFill>
          <bgColor rgb="FFFFF2CC"/>
        </patternFill>
      </fill>
    </dxf>
    <dxf>
      <fill>
        <patternFill>
          <bgColor rgb="FFFFF2CC"/>
        </patternFill>
      </fill>
    </dxf>
    <dxf>
      <fill>
        <patternFill>
          <bgColor rgb="FFFFF2CC"/>
        </patternFill>
      </fill>
    </dxf>
    <dxf>
      <font>
        <b/>
        <i val="0"/>
        <color rgb="FFC00000"/>
      </font>
    </dxf>
    <dxf>
      <fill>
        <patternFill>
          <bgColor rgb="FFFFF2CC"/>
        </patternFill>
      </fill>
    </dxf>
    <dxf>
      <font>
        <color rgb="FF808080"/>
      </font>
    </dxf>
    <dxf>
      <fill>
        <patternFill>
          <bgColor theme="9" tint="0.79998168889431442"/>
        </patternFill>
      </fill>
      <border>
        <left style="thin">
          <color auto="1"/>
        </left>
        <right style="thin">
          <color auto="1"/>
        </right>
        <top style="thin">
          <color auto="1"/>
        </top>
        <bottom style="thin">
          <color auto="1"/>
        </bottom>
        <vertical/>
        <horizontal/>
      </border>
    </dxf>
    <dxf>
      <font>
        <color rgb="FFC00000"/>
      </font>
    </dxf>
    <dxf>
      <font>
        <color rgb="FFBE0F34"/>
      </font>
    </dxf>
    <dxf>
      <font>
        <color theme="2"/>
      </font>
    </dxf>
    <dxf>
      <font>
        <color theme="2"/>
      </font>
    </dxf>
    <dxf>
      <fill>
        <patternFill>
          <bgColor rgb="FFFCE4D6"/>
        </patternFill>
      </fill>
      <border>
        <left style="thin">
          <color auto="1"/>
        </left>
        <right style="thin">
          <color auto="1"/>
        </right>
        <top style="thin">
          <color auto="1"/>
        </top>
        <bottom style="thin">
          <color auto="1"/>
        </bottom>
      </border>
    </dxf>
    <dxf>
      <font>
        <color theme="2"/>
      </font>
      <fill>
        <patternFill>
          <bgColor theme="0"/>
        </patternFill>
      </fill>
    </dxf>
    <dxf>
      <font>
        <color theme="2"/>
      </font>
    </dxf>
    <dxf>
      <font>
        <color theme="2"/>
      </font>
    </dxf>
    <dxf>
      <font>
        <color rgb="FFBE0F34"/>
      </font>
    </dxf>
    <dxf>
      <font>
        <color theme="2"/>
      </font>
    </dxf>
    <dxf>
      <font>
        <color rgb="FFBE0F34"/>
      </font>
    </dxf>
    <dxf>
      <font>
        <color rgb="FFBE0F34"/>
      </font>
    </dxf>
    <dxf>
      <font>
        <color rgb="FFBE0F34"/>
      </font>
    </dxf>
    <dxf>
      <font>
        <color rgb="FFBE0F34"/>
      </font>
    </dxf>
    <dxf>
      <font>
        <color rgb="FFBE0F34"/>
      </font>
    </dxf>
    <dxf>
      <font>
        <color rgb="FFBE0F34"/>
      </font>
    </dxf>
    <dxf>
      <font>
        <color theme="2"/>
      </font>
    </dxf>
    <dxf>
      <font>
        <color rgb="FFBE0F34"/>
      </font>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ill>
        <patternFill>
          <bgColor theme="0"/>
        </patternFill>
      </fill>
    </dxf>
    <dxf>
      <fill>
        <patternFill>
          <bgColor rgb="FFFFF2CC"/>
        </patternFill>
      </fill>
    </dxf>
    <dxf>
      <fill>
        <patternFill>
          <bgColor theme="9" tint="0.79998168889431442"/>
        </patternFill>
      </fill>
    </dxf>
    <dxf>
      <fill>
        <patternFill>
          <bgColor rgb="FFFCE4D6"/>
        </patternFill>
      </fill>
      <border>
        <left style="thin">
          <color auto="1"/>
        </left>
        <right style="thin">
          <color auto="1"/>
        </right>
        <top style="thin">
          <color auto="1"/>
        </top>
        <bottom style="thin">
          <color auto="1"/>
        </bottom>
      </border>
    </dxf>
    <dxf>
      <fill>
        <patternFill patternType="solid">
          <bgColor rgb="FFFCF2CC"/>
        </patternFill>
      </fill>
      <border>
        <left style="thin">
          <color auto="1"/>
        </left>
        <right style="thin">
          <color auto="1"/>
        </right>
        <top style="thin">
          <color auto="1"/>
        </top>
        <bottom style="thin">
          <color auto="1"/>
        </bottom>
        <vertical/>
        <horizontal/>
      </border>
    </dxf>
    <dxf>
      <font>
        <b/>
        <i val="0"/>
      </font>
    </dxf>
    <dxf>
      <font>
        <b/>
        <i val="0"/>
      </font>
    </dxf>
    <dxf>
      <font>
        <color rgb="FFBE0F34"/>
      </font>
    </dxf>
    <dxf>
      <font>
        <color theme="1"/>
      </font>
    </dxf>
    <dxf>
      <font>
        <color theme="2"/>
      </font>
    </dxf>
    <dxf>
      <font>
        <color theme="2"/>
      </font>
    </dxf>
    <dxf>
      <font>
        <color rgb="FF00B050"/>
      </font>
    </dxf>
    <dxf>
      <fill>
        <patternFill>
          <bgColor rgb="FFFFC000"/>
        </patternFill>
      </fill>
      <border>
        <left style="thin">
          <color auto="1"/>
        </left>
        <right style="thin">
          <color auto="1"/>
        </right>
        <top style="thin">
          <color auto="1"/>
        </top>
        <bottom style="thin">
          <color auto="1"/>
        </bottom>
      </border>
    </dxf>
    <dxf>
      <font>
        <b/>
        <i val="0"/>
      </font>
    </dxf>
    <dxf>
      <font>
        <b/>
        <i val="0"/>
      </font>
    </dxf>
    <dxf>
      <font>
        <b/>
        <i val="0"/>
      </font>
    </dxf>
    <dxf>
      <font>
        <b/>
        <i val="0"/>
      </font>
    </dxf>
    <dxf>
      <font>
        <color rgb="FFBE0F34"/>
      </font>
    </dxf>
    <dxf>
      <fill>
        <patternFill>
          <bgColor theme="0"/>
        </patternFill>
      </fill>
      <border>
        <left style="thin">
          <color auto="1"/>
        </left>
        <right style="thin">
          <color auto="1"/>
        </right>
        <top style="thin">
          <color auto="1"/>
        </top>
        <bottom style="thin">
          <color auto="1"/>
        </bottom>
        <vertical/>
        <horizontal/>
      </border>
    </dxf>
    <dxf>
      <font>
        <color theme="1"/>
      </font>
    </dxf>
    <dxf>
      <font>
        <b/>
        <i val="0"/>
      </font>
    </dxf>
    <dxf>
      <font>
        <color rgb="FFBE0F34"/>
      </font>
    </dxf>
    <dxf>
      <font>
        <color rgb="FFBE0F34"/>
      </font>
    </dxf>
    <dxf>
      <font>
        <color theme="2"/>
      </font>
    </dxf>
    <dxf>
      <font>
        <color theme="1"/>
      </font>
    </dxf>
    <dxf>
      <font>
        <color theme="1"/>
      </font>
    </dxf>
    <dxf>
      <font>
        <color theme="1"/>
      </font>
    </dxf>
    <dxf>
      <font>
        <color theme="1"/>
      </font>
    </dxf>
    <dxf>
      <fill>
        <patternFill>
          <bgColor theme="0"/>
        </patternFill>
      </fill>
    </dxf>
    <dxf>
      <fill>
        <patternFill>
          <bgColor theme="0"/>
        </patternFill>
      </fill>
    </dxf>
    <dxf>
      <fill>
        <patternFill>
          <bgColor theme="0"/>
        </patternFill>
      </fill>
    </dxf>
    <dxf>
      <fill>
        <patternFill>
          <bgColor theme="0"/>
        </patternFill>
      </fill>
      <border>
        <left style="thin">
          <color auto="1"/>
        </left>
        <right style="thin">
          <color auto="1"/>
        </right>
        <top style="thin">
          <color auto="1"/>
        </top>
        <bottom style="thin">
          <color auto="1"/>
        </bottom>
        <vertical/>
        <horizontal/>
      </border>
    </dxf>
    <dxf>
      <border>
        <left style="thin">
          <color auto="1"/>
        </left>
        <right/>
        <top/>
        <bottom/>
        <vertical/>
        <horizontal/>
      </border>
    </dxf>
    <dxf>
      <font>
        <b val="0"/>
        <i val="0"/>
      </font>
      <fill>
        <patternFill>
          <bgColor theme="0"/>
        </patternFill>
      </fill>
      <border>
        <left/>
        <right/>
        <top/>
        <bottom/>
        <vertical/>
        <horizontal/>
      </border>
    </dxf>
    <dxf>
      <fill>
        <patternFill>
          <bgColor rgb="FFFFC000"/>
        </patternFill>
      </fill>
      <border>
        <left style="thin">
          <color auto="1"/>
        </left>
        <right style="thin">
          <color auto="1"/>
        </right>
        <top style="thin">
          <color auto="1"/>
        </top>
        <bottom style="thin">
          <color auto="1"/>
        </bottom>
      </border>
    </dxf>
    <dxf>
      <fill>
        <patternFill patternType="solid">
          <bgColor rgb="FFFFF2CC"/>
        </patternFill>
      </fill>
      <border>
        <left style="thin">
          <color auto="1"/>
        </left>
        <right style="thin">
          <color auto="1"/>
        </right>
        <top style="thin">
          <color auto="1"/>
        </top>
        <bottom style="thin">
          <color auto="1"/>
        </bottom>
        <vertical/>
        <horizontal/>
      </border>
    </dxf>
    <dxf>
      <fill>
        <patternFill>
          <bgColor theme="0"/>
        </patternFill>
      </fill>
    </dxf>
    <dxf>
      <fill>
        <patternFill>
          <bgColor rgb="FFFFC000"/>
        </patternFill>
      </fill>
      <border>
        <left style="thin">
          <color auto="1"/>
        </left>
        <right style="thin">
          <color auto="1"/>
        </right>
        <top style="thin">
          <color auto="1"/>
        </top>
        <bottom style="thin">
          <color auto="1"/>
        </bottom>
        <vertical/>
        <horizontal/>
      </border>
    </dxf>
    <dxf>
      <fill>
        <patternFill patternType="solid">
          <bgColor rgb="FFFFF2CC"/>
        </patternFill>
      </fill>
      <border>
        <left style="thin">
          <color auto="1"/>
        </left>
        <right style="thin">
          <color auto="1"/>
        </right>
        <top style="thin">
          <color auto="1"/>
        </top>
        <bottom style="thin">
          <color auto="1"/>
        </bottom>
        <vertical/>
        <horizontal/>
      </border>
    </dxf>
    <dxf>
      <fill>
        <patternFill>
          <bgColor theme="0"/>
        </patternFill>
      </fill>
    </dxf>
    <dxf>
      <fill>
        <patternFill>
          <bgColor rgb="FFFFC000"/>
        </patternFill>
      </fill>
      <border>
        <left style="thin">
          <color auto="1"/>
        </left>
        <right style="thin">
          <color auto="1"/>
        </right>
        <top style="thin">
          <color auto="1"/>
        </top>
        <bottom style="thin">
          <color auto="1"/>
        </bottom>
        <vertical/>
        <horizontal/>
      </border>
    </dxf>
    <dxf>
      <fill>
        <patternFill patternType="solid">
          <bgColor rgb="FFFFF2CC"/>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border>
    </dxf>
    <dxf>
      <fill>
        <patternFill>
          <bgColor rgb="FFFFC000"/>
        </patternFill>
      </fill>
      <border>
        <left style="thin">
          <color auto="1"/>
        </left>
        <right style="thin">
          <color auto="1"/>
        </right>
        <top style="thin">
          <color auto="1"/>
        </top>
        <bottom style="thin">
          <color auto="1"/>
        </bottom>
      </border>
    </dxf>
    <dxf>
      <fill>
        <patternFill>
          <bgColor theme="0"/>
        </patternFill>
      </fill>
    </dxf>
    <dxf>
      <fill>
        <patternFill>
          <bgColor theme="0"/>
        </patternFill>
      </fill>
    </dxf>
    <dxf>
      <border>
        <left/>
        <right style="thin">
          <color auto="1"/>
        </right>
        <top style="thin">
          <color auto="1"/>
        </top>
        <bottom style="thin">
          <color auto="1"/>
        </bottom>
        <vertical/>
        <horizontal/>
      </border>
    </dxf>
    <dxf>
      <border>
        <left style="thin">
          <color auto="1"/>
        </left>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CE4D6"/>
        </patternFill>
      </fill>
      <border>
        <left style="thin">
          <color auto="1"/>
        </left>
        <right style="thin">
          <color auto="1"/>
        </right>
        <top style="thin">
          <color auto="1"/>
        </top>
        <bottom style="thin">
          <color auto="1"/>
        </bottom>
      </border>
    </dxf>
    <dxf>
      <border>
        <left/>
        <right/>
        <top/>
        <bottom/>
        <vertical/>
        <horizontal/>
      </border>
    </dxf>
    <dxf>
      <border>
        <left/>
        <right/>
        <top style="thin">
          <color auto="1"/>
        </top>
        <bottom/>
        <vertical/>
        <horizontal/>
      </border>
    </dxf>
    <dxf>
      <font>
        <color rgb="FF0070C0"/>
      </font>
    </dxf>
    <dxf>
      <font>
        <color rgb="FFC00000"/>
      </font>
    </dxf>
    <dxf>
      <fill>
        <patternFill>
          <bgColor theme="0"/>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ont>
        <color rgb="FFC00000"/>
      </font>
    </dxf>
    <dxf>
      <font>
        <color rgb="FFC00000"/>
      </font>
      <fill>
        <patternFill patternType="none">
          <bgColor auto="1"/>
        </patternFill>
      </fill>
    </dxf>
    <dxf>
      <fill>
        <patternFill>
          <bgColor theme="9" tint="0.79998168889431442"/>
        </patternFill>
      </fill>
    </dxf>
    <dxf>
      <fill>
        <patternFill>
          <bgColor theme="9" tint="0.79998168889431442"/>
        </patternFill>
      </fill>
    </dxf>
    <dxf>
      <fill>
        <patternFill>
          <bgColor rgb="FFFFF2CC"/>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vertical/>
        <horizontal/>
      </border>
    </dxf>
    <dxf>
      <font>
        <color theme="0" tint="-0.24994659260841701"/>
      </font>
    </dxf>
    <dxf>
      <fill>
        <patternFill patternType="none">
          <bgColor auto="1"/>
        </patternFill>
      </fill>
      <border>
        <left style="thin">
          <color auto="1"/>
        </left>
        <right style="thin">
          <color auto="1"/>
        </right>
        <top style="thin">
          <color auto="1"/>
        </top>
        <bottom style="thin">
          <color auto="1"/>
        </bottom>
        <vertical/>
        <horizontal/>
      </border>
    </dxf>
    <dxf>
      <fill>
        <patternFill>
          <bgColor rgb="FFFCE4D6"/>
        </patternFill>
      </fill>
      <border>
        <left style="thin">
          <color auto="1"/>
        </left>
        <right style="thin">
          <color auto="1"/>
        </right>
        <top style="thin">
          <color auto="1"/>
        </top>
        <bottom style="thin">
          <color auto="1"/>
        </bottom>
        <vertical/>
        <horizontal/>
      </border>
    </dxf>
    <dxf>
      <fill>
        <patternFill patternType="none">
          <bgColor auto="1"/>
        </patternFill>
      </fill>
      <border>
        <left style="thin">
          <color auto="1"/>
        </left>
        <right style="thin">
          <color auto="1"/>
        </right>
        <top style="thin">
          <color auto="1"/>
        </top>
        <bottom style="thin">
          <color auto="1"/>
        </bottom>
        <vertical/>
        <horizontal/>
      </border>
    </dxf>
    <dxf>
      <fill>
        <patternFill>
          <bgColor rgb="FFFCE4D6"/>
        </patternFill>
      </fill>
      <border>
        <left style="thin">
          <color auto="1"/>
        </left>
        <right style="thin">
          <color auto="1"/>
        </right>
        <top style="thin">
          <color auto="1"/>
        </top>
        <bottom style="thin">
          <color auto="1"/>
        </bottom>
        <vertical/>
        <horizontal/>
      </border>
    </dxf>
    <dxf>
      <fill>
        <patternFill>
          <bgColor theme="9" tint="0.79998168889431442"/>
        </patternFill>
      </fill>
    </dxf>
    <dxf>
      <font>
        <color theme="1"/>
      </font>
      <border>
        <left style="thin">
          <color auto="1"/>
        </left>
        <right style="thin">
          <color auto="1"/>
        </right>
        <top style="thin">
          <color auto="1"/>
        </top>
        <bottom style="thin">
          <color auto="1"/>
        </bottom>
        <vertical/>
        <horizontal/>
      </border>
    </dxf>
    <dxf>
      <font>
        <color theme="2"/>
      </font>
    </dxf>
    <dxf>
      <fill>
        <patternFill>
          <bgColor rgb="FFFFF2CC"/>
        </patternFill>
      </fill>
    </dxf>
    <dxf>
      <fill>
        <patternFill patternType="none">
          <bgColor auto="1"/>
        </patternFill>
      </fill>
    </dxf>
    <dxf>
      <fill>
        <patternFill>
          <bgColor theme="0"/>
        </patternFill>
      </fill>
    </dxf>
    <dxf>
      <fill>
        <patternFill>
          <bgColor theme="0"/>
        </patternFill>
      </fill>
    </dxf>
    <dxf>
      <border>
        <left style="thin">
          <color auto="1"/>
        </left>
        <right style="thin">
          <color auto="1"/>
        </right>
        <top style="thin">
          <color auto="1"/>
        </top>
        <bottom style="thin">
          <color auto="1"/>
        </bottom>
        <vertical/>
        <horizontal/>
      </border>
    </dxf>
    <dxf>
      <fill>
        <patternFill>
          <bgColor rgb="FFFFF2CC"/>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F2CC"/>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vertical/>
        <horizontal/>
      </border>
    </dxf>
    <dxf>
      <font>
        <color theme="0"/>
      </font>
      <fill>
        <patternFill patternType="solid">
          <bgColor theme="0"/>
        </patternFill>
      </fill>
      <border>
        <left/>
        <right/>
        <top/>
        <bottom/>
        <vertical/>
        <horizontal/>
      </border>
    </dxf>
    <dxf>
      <border>
        <bottom style="thin">
          <color auto="1"/>
        </bottom>
        <vertical/>
        <horizontal/>
      </border>
    </dxf>
    <dxf>
      <fill>
        <patternFill>
          <bgColor rgb="FFFFF2CC"/>
        </patternFill>
      </fill>
    </dxf>
    <dxf>
      <fill>
        <patternFill>
          <bgColor theme="9" tint="0.79998168889431442"/>
        </patternFill>
      </fill>
    </dxf>
    <dxf>
      <border>
        <left/>
        <right/>
        <top style="thin">
          <color auto="1"/>
        </top>
        <bottom/>
        <vertical/>
        <horizontal/>
      </border>
    </dxf>
    <dxf>
      <border>
        <left/>
        <right/>
        <top style="thin">
          <color auto="1"/>
        </top>
        <bottom/>
        <vertical/>
        <horizontal/>
      </border>
    </dxf>
    <dxf>
      <border>
        <left/>
        <right style="thin">
          <color auto="1"/>
        </right>
        <top style="thin">
          <color auto="1"/>
        </top>
        <bottom style="thin">
          <color auto="1"/>
        </bottom>
        <vertical/>
        <horizontal/>
      </border>
    </dxf>
    <dxf>
      <border>
        <left style="thin">
          <color auto="1"/>
        </left>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bottom style="thin">
          <color auto="1"/>
        </bottom>
      </border>
    </dxf>
    <dxf>
      <fill>
        <patternFill>
          <bgColor rgb="FFFCE4D6"/>
        </patternFill>
      </fill>
      <border>
        <left style="thin">
          <color auto="1"/>
        </left>
        <right style="thin">
          <color auto="1"/>
        </right>
        <top style="thin">
          <color auto="1"/>
        </top>
        <bottom style="thin">
          <color auto="1"/>
        </bottom>
      </border>
    </dxf>
    <dxf>
      <fill>
        <patternFill>
          <bgColor rgb="FFFFF2CC"/>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tint="0.79998168889431442"/>
        </patternFill>
      </fill>
    </dxf>
    <dxf>
      <fill>
        <patternFill>
          <bgColor rgb="FFFFF2CC"/>
        </patternFill>
      </fill>
      <border>
        <left style="thin">
          <color auto="1"/>
        </left>
        <right style="thin">
          <color auto="1"/>
        </right>
        <top style="thin">
          <color auto="1"/>
        </top>
        <bottom style="thin">
          <color auto="1"/>
        </bottom>
      </border>
    </dxf>
    <dxf>
      <fill>
        <patternFill>
          <bgColor theme="9" tint="0.79998168889431442"/>
        </patternFill>
      </fill>
      <border>
        <left style="thin">
          <color auto="1"/>
        </left>
        <right style="thin">
          <color auto="1"/>
        </right>
        <top style="thin">
          <color auto="1"/>
        </top>
        <bottom style="thin">
          <color auto="1"/>
        </bottom>
      </border>
    </dxf>
    <dxf>
      <font>
        <color rgb="FF0070C0"/>
      </font>
      <fill>
        <patternFill patternType="none">
          <bgColor auto="1"/>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font>
        <color theme="2"/>
      </font>
    </dxf>
    <dxf>
      <fill>
        <patternFill>
          <bgColor rgb="FFFFF2CC"/>
        </patternFill>
      </fill>
    </dxf>
    <dxf>
      <fill>
        <patternFill patternType="solid">
          <bgColor theme="0"/>
        </patternFill>
      </fill>
      <border>
        <left style="thin">
          <color auto="1"/>
        </left>
        <right style="thin">
          <color auto="1"/>
        </right>
        <top style="thin">
          <color auto="1"/>
        </top>
        <bottom style="thin">
          <color auto="1"/>
        </bottom>
        <vertical/>
        <horizontal/>
      </border>
    </dxf>
    <dxf>
      <fill>
        <patternFill>
          <bgColor rgb="FFFFF2CC"/>
        </patternFill>
      </fill>
    </dxf>
    <dxf>
      <font>
        <color auto="1"/>
      </font>
      <fill>
        <patternFill>
          <bgColor rgb="FFFCE4D6"/>
        </patternFill>
      </fill>
    </dxf>
    <dxf>
      <fill>
        <patternFill>
          <bgColor theme="0"/>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style="thin">
          <color auto="1"/>
        </top>
        <bottom/>
        <vertical/>
        <horizontal/>
      </border>
    </dxf>
    <dxf>
      <fill>
        <patternFill>
          <bgColor theme="0"/>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fill>
        <patternFill>
          <bgColor rgb="FFFFF2CC"/>
        </patternFill>
      </fill>
      <border>
        <left style="thin">
          <color auto="1"/>
        </left>
        <right style="thin">
          <color auto="1"/>
        </right>
        <top style="thin">
          <color auto="1"/>
        </top>
        <bottom style="thin">
          <color auto="1"/>
        </bottom>
        <vertical/>
        <horizontal/>
      </border>
    </dxf>
    <dxf>
      <fill>
        <patternFill>
          <bgColor rgb="FFFFF2CC"/>
        </patternFill>
      </fill>
      <border>
        <left style="thin">
          <color auto="1"/>
        </left>
        <right style="thin">
          <color auto="1"/>
        </right>
        <top style="thin">
          <color auto="1"/>
        </top>
        <bottom style="thin">
          <color auto="1"/>
        </bottom>
        <vertical/>
        <horizontal/>
      </border>
    </dxf>
    <dxf>
      <fill>
        <patternFill>
          <bgColor rgb="FFFFF2CC"/>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CE4D6"/>
        </patternFill>
      </fill>
      <border>
        <left style="thin">
          <color auto="1"/>
        </left>
        <right style="thin">
          <color auto="1"/>
        </right>
        <top style="thin">
          <color auto="1"/>
        </top>
        <bottom style="thin">
          <color auto="1"/>
        </bottom>
      </border>
    </dxf>
    <dxf>
      <border>
        <left/>
        <right/>
        <top/>
        <bottom/>
        <vertical/>
        <horizontal/>
      </border>
    </dxf>
    <dxf>
      <fill>
        <patternFill>
          <bgColor rgb="FFFFF2CC"/>
        </patternFill>
      </fill>
    </dxf>
    <dxf>
      <fill>
        <patternFill patternType="solid">
          <bgColor theme="0"/>
        </patternFill>
      </fill>
      <border>
        <left style="thin">
          <color auto="1"/>
        </left>
        <right style="thin">
          <color auto="1"/>
        </right>
        <top style="thin">
          <color auto="1"/>
        </top>
        <bottom style="thin">
          <color auto="1"/>
        </bottom>
        <vertical/>
        <horizontal/>
      </border>
    </dxf>
    <dxf>
      <fill>
        <patternFill>
          <bgColor theme="0"/>
        </patternFill>
      </fill>
      <border>
        <left style="thin">
          <color auto="1"/>
        </left>
        <right style="thin">
          <color auto="1"/>
        </right>
        <top style="thin">
          <color auto="1"/>
        </top>
        <bottom style="thin">
          <color auto="1"/>
        </bottom>
        <vertical/>
        <horizontal/>
      </border>
    </dxf>
    <dxf>
      <border>
        <left/>
        <right/>
        <top/>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font>
        <color theme="0"/>
      </font>
      <fill>
        <patternFill>
          <bgColor theme="0"/>
        </patternFill>
      </fill>
      <border>
        <left/>
        <right/>
        <top style="thin">
          <color auto="1"/>
        </top>
        <bottom/>
        <vertical/>
        <horizontal/>
      </border>
    </dxf>
    <dxf>
      <border>
        <left style="thin">
          <color auto="1"/>
        </left>
        <right style="thin">
          <color auto="1"/>
        </right>
        <top style="thin">
          <color auto="1"/>
        </top>
        <bottom style="thin">
          <color auto="1"/>
        </bottom>
        <vertical/>
        <horizontal/>
      </border>
    </dxf>
    <dxf>
      <font>
        <color theme="2"/>
      </font>
    </dxf>
    <dxf>
      <fill>
        <patternFill>
          <bgColor rgb="FFFFF2CC"/>
        </patternFill>
      </fill>
      <border>
        <left style="thin">
          <color auto="1"/>
        </left>
        <right style="thin">
          <color auto="1"/>
        </right>
        <top style="thin">
          <color auto="1"/>
        </top>
        <bottom style="thin">
          <color auto="1"/>
        </bottom>
      </border>
    </dxf>
    <dxf>
      <font>
        <color theme="2"/>
      </font>
    </dxf>
    <dxf>
      <fill>
        <patternFill>
          <bgColor rgb="FFFFF2CC"/>
        </patternFill>
      </fill>
      <border>
        <left style="thin">
          <color auto="1"/>
        </left>
        <right style="thin">
          <color auto="1"/>
        </right>
        <top style="thin">
          <color auto="1"/>
        </top>
        <bottom style="thin">
          <color auto="1"/>
        </bottom>
        <vertical/>
        <horizontal/>
      </border>
    </dxf>
    <dxf>
      <font>
        <color theme="0"/>
      </font>
      <fill>
        <patternFill>
          <bgColor theme="0"/>
        </patternFill>
      </fill>
      <border>
        <left/>
        <right/>
        <top style="thin">
          <color auto="1"/>
        </top>
        <bottom/>
        <vertical/>
        <horizontal/>
      </border>
    </dxf>
    <dxf>
      <fill>
        <patternFill>
          <bgColor rgb="FFFCE4D6"/>
        </patternFill>
      </fill>
    </dxf>
    <dxf>
      <fill>
        <patternFill>
          <bgColor rgb="FFFCE4D6"/>
        </patternFill>
      </fill>
      <border>
        <left style="thin">
          <color auto="1"/>
        </left>
        <right style="thin">
          <color auto="1"/>
        </right>
        <top style="thin">
          <color auto="1"/>
        </top>
        <bottom style="thin">
          <color auto="1"/>
        </bottom>
      </border>
    </dxf>
    <dxf>
      <fill>
        <patternFill>
          <bgColor rgb="FFFCE4D6"/>
        </patternFill>
      </fill>
      <border>
        <left style="thin">
          <color auto="1"/>
        </left>
        <right style="thin">
          <color auto="1"/>
        </right>
        <top style="thin">
          <color auto="1"/>
        </top>
        <bottom style="thin">
          <color auto="1"/>
        </bottom>
      </border>
    </dxf>
    <dxf>
      <fill>
        <patternFill>
          <bgColor rgb="FFFCE4D6"/>
        </patternFill>
      </fill>
    </dxf>
    <dxf>
      <fill>
        <patternFill>
          <bgColor rgb="FFFCE4D6"/>
        </patternFill>
      </fill>
      <border>
        <left style="thin">
          <color auto="1"/>
        </left>
        <right style="thin">
          <color auto="1"/>
        </right>
        <top style="thin">
          <color auto="1"/>
        </top>
        <bottom style="thin">
          <color auto="1"/>
        </bottom>
      </border>
    </dxf>
    <dxf>
      <fill>
        <patternFill>
          <bgColor rgb="FFFCE4D6"/>
        </patternFill>
      </fill>
      <border>
        <left style="thin">
          <color auto="1"/>
        </left>
        <right style="thin">
          <color auto="1"/>
        </right>
        <top style="thin">
          <color auto="1"/>
        </top>
        <bottom style="thin">
          <color auto="1"/>
        </bottom>
      </border>
    </dxf>
    <dxf>
      <fill>
        <patternFill>
          <bgColor rgb="FFFCE4D6"/>
        </patternFill>
      </fill>
      <border>
        <left style="thin">
          <color auto="1"/>
        </left>
        <right style="thin">
          <color auto="1"/>
        </right>
        <top style="thin">
          <color auto="1"/>
        </top>
        <bottom style="thin">
          <color auto="1"/>
        </bottom>
      </border>
    </dxf>
    <dxf>
      <fill>
        <patternFill>
          <bgColor rgb="FFFCE4D6"/>
        </patternFill>
      </fill>
      <border>
        <left style="thin">
          <color auto="1"/>
        </left>
        <right style="thin">
          <color auto="1"/>
        </right>
        <top style="thin">
          <color auto="1"/>
        </top>
        <bottom style="thin">
          <color auto="1"/>
        </bottom>
      </border>
    </dxf>
    <dxf>
      <fill>
        <patternFill>
          <bgColor rgb="FFFFF2CC"/>
        </patternFill>
      </fill>
      <border>
        <left style="thin">
          <color auto="1"/>
        </left>
        <right style="thin">
          <color auto="1"/>
        </right>
        <top style="thin">
          <color auto="1"/>
        </top>
        <bottom style="thin">
          <color auto="1"/>
        </bottom>
      </border>
    </dxf>
    <dxf>
      <fill>
        <patternFill>
          <bgColor rgb="FFFCE4D6"/>
        </patternFill>
      </fill>
      <border>
        <left style="thin">
          <color auto="1"/>
        </left>
        <right style="thin">
          <color auto="1"/>
        </right>
        <top style="thin">
          <color auto="1"/>
        </top>
        <bottom style="thin">
          <color auto="1"/>
        </bottom>
      </border>
    </dxf>
    <dxf>
      <fill>
        <patternFill>
          <bgColor rgb="FFFCE4D6"/>
        </patternFill>
      </fill>
    </dxf>
    <dxf>
      <fill>
        <patternFill patternType="none">
          <bgColor auto="1"/>
        </patternFill>
      </fill>
    </dxf>
    <dxf>
      <border>
        <left/>
        <right/>
        <top/>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
      <border>
        <left/>
        <right/>
        <top/>
        <bottom/>
        <vertical/>
        <horizontal/>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DDDDDD"/>
      <rgbColor rgb="00FF0000"/>
      <rgbColor rgb="0000FF00"/>
      <rgbColor rgb="000000FF"/>
      <rgbColor rgb="00FFFF00"/>
      <rgbColor rgb="00FF00FF"/>
      <rgbColor rgb="0000FFFF"/>
      <rgbColor rgb="00800000"/>
      <rgbColor rgb="00008000"/>
      <rgbColor rgb="00FFFFFF"/>
      <rgbColor rgb="00808000"/>
      <rgbColor rgb="00800080"/>
      <rgbColor rgb="00008080"/>
      <rgbColor rgb="00C0C0C0"/>
      <rgbColor rgb="005F5F5F"/>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EAEAEA"/>
      <rgbColor rgb="00FFCC99"/>
      <rgbColor rgb="003366FF"/>
      <rgbColor rgb="0033CCCC"/>
      <rgbColor rgb="0099CC00"/>
      <rgbColor rgb="00FFCC00"/>
      <rgbColor rgb="00FF9900"/>
      <rgbColor rgb="00FF6600"/>
      <rgbColor rgb="00666699"/>
      <rgbColor rgb="00808080"/>
      <rgbColor rgb="00DDDDDD"/>
      <rgbColor rgb="00339966"/>
      <rgbColor rgb="00CCCCCC"/>
      <rgbColor rgb="00808080"/>
      <rgbColor rgb="005F5F5F"/>
      <rgbColor rgb="00B60036"/>
      <rgbColor rgb="00BE0F34"/>
      <rgbColor rgb="00333333"/>
    </indexedColors>
    <mruColors>
      <color rgb="FFFFFFCC"/>
      <color rgb="FFFFF2CC"/>
      <color rgb="FF0000FF"/>
      <color rgb="FFBE0F34"/>
      <color rgb="FF0066FF"/>
      <color rgb="FFCCFFCC"/>
      <color rgb="FF305496"/>
      <color rgb="FFCCFFFF"/>
      <color rgb="FFEAEAEA"/>
      <color rgb="FFFCE4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D7053240-CE69-11CD-A777-00DD01143C57}" r:id="rId1"/>
</file>

<file path=xl/activeX/activeX8.xml><?xml version="1.0" encoding="utf-8"?>
<ax:ocx xmlns:ax="http://schemas.microsoft.com/office/2006/activeX" xmlns:r="http://schemas.openxmlformats.org/officeDocument/2006/relationships" ax:classid="{D7053240-CE69-11CD-A777-00DD01143C57}" r:id="rId1"/>
</file>

<file path=xl/activeX/activeX9.xml><?xml version="1.0" encoding="utf-8"?>
<ax:ocx xmlns:ax="http://schemas.microsoft.com/office/2006/activeX" xmlns:r="http://schemas.openxmlformats.org/officeDocument/2006/relationships" ax:classid="{D7053240-CE69-11CD-A777-00DD01143C57}" r:id="rId1"/>
</file>

<file path=xl/activeX/activeX10.xml><?xml version="1.0" encoding="utf-8"?>
<ax:ocx xmlns:ax="http://schemas.microsoft.com/office/2006/activeX" xmlns:r="http://schemas.openxmlformats.org/officeDocument/2006/relationships" ax:classid="{D7053240-CE69-11CD-A777-00DD01143C57}" r:id="rId1"/>
</file>

<file path=xl/activeX/activeX11.xml><?xml version="1.0" encoding="utf-8"?>
<ax:ocx xmlns:ax="http://schemas.microsoft.com/office/2006/activeX" xmlns:r="http://schemas.openxmlformats.org/officeDocument/2006/relationships" ax:classid="{D7053240-CE69-11CD-A777-00DD01143C57}" r:id="rId1"/>
</file>

<file path=xl/activeX/activeX12.xml><?xml version="1.0" encoding="utf-8"?>
<ax:ocx xmlns:ax="http://schemas.microsoft.com/office/2006/activeX" xmlns:r="http://schemas.openxmlformats.org/officeDocument/2006/relationships" ax:classid="{D7053240-CE69-11CD-A777-00DD01143C57}" r:id="rId1"/>
</file>

<file path=xl/activeX/activeX13.xml><?xml version="1.0" encoding="utf-8"?>
<ax:ocx xmlns:ax="http://schemas.microsoft.com/office/2006/activeX" xmlns:r="http://schemas.openxmlformats.org/officeDocument/2006/relationships" ax:classid="{D7053240-CE69-11CD-A777-00DD01143C57}" r:id="rId1"/>
</file>

<file path=xl/activeX/activeX14.xml><?xml version="1.0" encoding="utf-8"?>
<ax:ocx xmlns:ax="http://schemas.microsoft.com/office/2006/activeX" xmlns:r="http://schemas.openxmlformats.org/officeDocument/2006/relationships" ax:classid="{D7053240-CE69-11CD-A777-00DD01143C57}" r:id="rId1"/>
</file>

<file path=xl/activeX/activeX15.xml><?xml version="1.0" encoding="utf-8"?>
<ax:ocx xmlns:ax="http://schemas.microsoft.com/office/2006/activeX" xmlns:r="http://schemas.openxmlformats.org/officeDocument/2006/relationships" ax:classid="{D7053240-CE69-11CD-A777-00DD01143C57}" r:id="rId1"/>
</file>

<file path=xl/activeX/activeX16.xml><?xml version="1.0" encoding="utf-8"?>
<ax:ocx xmlns:ax="http://schemas.microsoft.com/office/2006/activeX" xmlns:r="http://schemas.openxmlformats.org/officeDocument/2006/relationships" ax:classid="{D7053240-CE69-11CD-A777-00DD01143C57}" r:id="rId1"/>
</file>

<file path=xl/activeX/activeX17.xml><?xml version="1.0" encoding="utf-8"?>
<ax:ocx xmlns:ax="http://schemas.microsoft.com/office/2006/activeX" xmlns:r="http://schemas.openxmlformats.org/officeDocument/2006/relationships" ax:classid="{D7053240-CE69-11CD-A777-00DD01143C57}" r:id="rId1"/>
</file>

<file path=xl/activeX/activeX18.xml><?xml version="1.0" encoding="utf-8"?>
<ax:ocx xmlns:ax="http://schemas.microsoft.com/office/2006/activeX" xmlns:r="http://schemas.openxmlformats.org/officeDocument/2006/relationships" ax:classid="{D7053240-CE69-11CD-A777-00DD01143C57}" r:id="rId1"/>
</file>

<file path=xl/activeX/activeX19.xml><?xml version="1.0" encoding="utf-8"?>
<ax:ocx xmlns:ax="http://schemas.microsoft.com/office/2006/activeX" xmlns:r="http://schemas.openxmlformats.org/officeDocument/2006/relationships" ax:classid="{D7053240-CE69-11CD-A777-00DD01143C57}" r:id="rId1"/>
</file>

<file path=xl/activeX/activeX20.xml><?xml version="1.0" encoding="utf-8"?>
<ax:ocx xmlns:ax="http://schemas.microsoft.com/office/2006/activeX" xmlns:r="http://schemas.openxmlformats.org/officeDocument/2006/relationships" ax:classid="{D7053240-CE69-11CD-A777-00DD01143C57}" r:id="rId1"/>
</file>

<file path=xl/activeX/activeX21.xml><?xml version="1.0" encoding="utf-8"?>
<ax:ocx xmlns:ax="http://schemas.microsoft.com/office/2006/activeX" xmlns:r="http://schemas.openxmlformats.org/officeDocument/2006/relationships" ax:classid="{D7053240-CE69-11CD-A777-00DD01143C57}" r:id="rId1"/>
</file>

<file path=xl/activeX/activeX22.xml><?xml version="1.0" encoding="utf-8"?>
<ax:ocx xmlns:ax="http://schemas.microsoft.com/office/2006/activeX" xmlns:r="http://schemas.openxmlformats.org/officeDocument/2006/relationships" ax:classid="{D7053240-CE69-11CD-A777-00DD01143C57}" r:id="rId1"/>
</file>

<file path=xl/activeX/activeX23.xml><?xml version="1.0" encoding="utf-8"?>
<ax:ocx xmlns:ax="http://schemas.microsoft.com/office/2006/activeX" xmlns:r="http://schemas.openxmlformats.org/officeDocument/2006/relationships" ax:classid="{D7053240-CE69-11CD-A777-00DD01143C57}" r:id="rId1"/>
</file>

<file path=xl/activeX/activeX24.xml><?xml version="1.0" encoding="utf-8"?>
<ax:ocx xmlns:ax="http://schemas.microsoft.com/office/2006/activeX" xmlns:r="http://schemas.openxmlformats.org/officeDocument/2006/relationships" ax:classid="{D7053240-CE69-11CD-A777-00DD01143C57}" r:id="rId1"/>
</file>

<file path=xl/activeX/activeX25.xml><?xml version="1.0" encoding="utf-8"?>
<ax:ocx xmlns:ax="http://schemas.microsoft.com/office/2006/activeX" xmlns:r="http://schemas.openxmlformats.org/officeDocument/2006/relationships" ax:classid="{D7053240-CE69-11CD-A777-00DD01143C57}" r:id="rId1"/>
</file>

<file path=xl/activeX/activeX26.xml><?xml version="1.0" encoding="utf-8"?>
<ax:ocx xmlns:ax="http://schemas.microsoft.com/office/2006/activeX" xmlns:r="http://schemas.openxmlformats.org/officeDocument/2006/relationships" ax:classid="{D7053240-CE69-11CD-A777-00DD01143C57}" r:id="rId1"/>
</file>

<file path=xl/activeX/activeX27.xml><?xml version="1.0" encoding="utf-8"?>
<ax:ocx xmlns:ax="http://schemas.microsoft.com/office/2006/activeX" xmlns:r="http://schemas.openxmlformats.org/officeDocument/2006/relationships" ax:classid="{D7053240-CE69-11CD-A777-00DD01143C57}" r:id="rId1"/>
</file>

<file path=xl/activeX/activeX28.xml><?xml version="1.0" encoding="utf-8"?>
<ax:ocx xmlns:ax="http://schemas.microsoft.com/office/2006/activeX" xmlns:r="http://schemas.openxmlformats.org/officeDocument/2006/relationships" ax:classid="{D7053240-CE69-11CD-A777-00DD01143C57}" r:id="rId1"/>
</file>

<file path=xl/activeX/activeX29.xml><?xml version="1.0" encoding="utf-8"?>
<ax:ocx xmlns:ax="http://schemas.microsoft.com/office/2006/activeX" xmlns:r="http://schemas.openxmlformats.org/officeDocument/2006/relationships" ax:classid="{D7053240-CE69-11CD-A777-00DD01143C57}" r:id="rId1"/>
</file>

<file path=xl/activeX/activeX30.xml><?xml version="1.0" encoding="utf-8"?>
<ax:ocx xmlns:ax="http://schemas.microsoft.com/office/2006/activeX" xmlns:r="http://schemas.openxmlformats.org/officeDocument/2006/relationships" ax:classid="{D7053240-CE69-11CD-A777-00DD01143C57}" r:id="rId1"/>
</file>

<file path=xl/activeX/activeX31.xml><?xml version="1.0" encoding="utf-8"?>
<ax:ocx xmlns:ax="http://schemas.microsoft.com/office/2006/activeX" xmlns:r="http://schemas.openxmlformats.org/officeDocument/2006/relationships" ax:classid="{D7053240-CE69-11CD-A777-00DD01143C57}" r:id="rId1"/>
</file>

<file path=xl/activeX/activeX32.xml><?xml version="1.0" encoding="utf-8"?>
<ax:ocx xmlns:ax="http://schemas.microsoft.com/office/2006/activeX" xmlns:r="http://schemas.openxmlformats.org/officeDocument/2006/relationships" ax:classid="{D7053240-CE69-11CD-A777-00DD01143C57}" r:id="rId1"/>
</file>

<file path=xl/activeX/activeX33.xml><?xml version="1.0" encoding="utf-8"?>
<ax:ocx xmlns:ax="http://schemas.microsoft.com/office/2006/activeX" xmlns:r="http://schemas.openxmlformats.org/officeDocument/2006/relationships" ax:classid="{D7053240-CE69-11CD-A777-00DD01143C57}" r:id="rId1"/>
</file>

<file path=xl/activeX/activeX34.xml><?xml version="1.0" encoding="utf-8"?>
<ax:ocx xmlns:ax="http://schemas.microsoft.com/office/2006/activeX" xmlns:r="http://schemas.openxmlformats.org/officeDocument/2006/relationships" ax:classid="{D7053240-CE69-11CD-A777-00DD01143C57}" r:id="rId1"/>
</file>

<file path=xl/activeX/activeX35.xml><?xml version="1.0" encoding="utf-8"?>
<ax:ocx xmlns:ax="http://schemas.microsoft.com/office/2006/activeX" xmlns:r="http://schemas.openxmlformats.org/officeDocument/2006/relationships" ax:classid="{D7053240-CE69-11CD-A777-00DD01143C57}" r:id="rId1"/>
</file>

<file path=xl/activeX/activeX36.xml><?xml version="1.0" encoding="utf-8"?>
<ax:ocx xmlns:ax="http://schemas.microsoft.com/office/2006/activeX" xmlns:r="http://schemas.openxmlformats.org/officeDocument/2006/relationships" ax:classid="{D7053240-CE69-11CD-A777-00DD01143C57}" r:id="rId1"/>
</file>

<file path=xl/activeX/activeX37.xml><?xml version="1.0" encoding="utf-8"?>
<ax:ocx xmlns:ax="http://schemas.microsoft.com/office/2006/activeX" xmlns:r="http://schemas.openxmlformats.org/officeDocument/2006/relationships" ax:classid="{D7053240-CE69-11CD-A777-00DD01143C57}" r:id="rId1"/>
</file>

<file path=xl/activeX/activeX38.xml><?xml version="1.0" encoding="utf-8"?>
<ax:ocx xmlns:ax="http://schemas.microsoft.com/office/2006/activeX" xmlns:r="http://schemas.openxmlformats.org/officeDocument/2006/relationships" ax:classid="{D7053240-CE69-11CD-A777-00DD01143C57}" r:id="rId1"/>
</file>

<file path=xl/activeX/activeX39.xml><?xml version="1.0" encoding="utf-8"?>
<ax:ocx xmlns:ax="http://schemas.microsoft.com/office/2006/activeX" xmlns:r="http://schemas.openxmlformats.org/officeDocument/2006/relationships" ax:classid="{D7053240-CE69-11CD-A777-00DD01143C57}"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Radio" firstButton="1" fmlaLink="Daten!M83"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png"/><Relationship Id="rId1" Type="http://schemas.openxmlformats.org/officeDocument/2006/relationships/image" Target="../media/image12.jpeg"/><Relationship Id="rId4" Type="http://schemas.openxmlformats.org/officeDocument/2006/relationships/image" Target="../media/image15.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image" Target="../media/image6.emf"/><Relationship Id="rId7" Type="http://schemas.openxmlformats.org/officeDocument/2006/relationships/image" Target="../media/image4.emf"/><Relationship Id="rId2" Type="http://schemas.openxmlformats.org/officeDocument/2006/relationships/image" Target="../media/image1.emf"/><Relationship Id="rId1" Type="http://schemas.openxmlformats.org/officeDocument/2006/relationships/image" Target="../media/image9.emf"/><Relationship Id="rId6" Type="http://schemas.openxmlformats.org/officeDocument/2006/relationships/image" Target="../media/image5.emf"/><Relationship Id="rId5" Type="http://schemas.openxmlformats.org/officeDocument/2006/relationships/image" Target="../media/image7.emf"/><Relationship Id="rId10" Type="http://schemas.openxmlformats.org/officeDocument/2006/relationships/image" Target="../media/image10.emf"/><Relationship Id="rId4" Type="http://schemas.openxmlformats.org/officeDocument/2006/relationships/image" Target="../media/image8.emf"/><Relationship Id="rId9"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5.emf"/><Relationship Id="rId3" Type="http://schemas.openxmlformats.org/officeDocument/2006/relationships/image" Target="../media/image1.emf"/><Relationship Id="rId7" Type="http://schemas.openxmlformats.org/officeDocument/2006/relationships/image" Target="../media/image4.emf"/><Relationship Id="rId2" Type="http://schemas.openxmlformats.org/officeDocument/2006/relationships/image" Target="../media/image8.emf"/><Relationship Id="rId1" Type="http://schemas.openxmlformats.org/officeDocument/2006/relationships/image" Target="../media/image7.emf"/><Relationship Id="rId6" Type="http://schemas.openxmlformats.org/officeDocument/2006/relationships/image" Target="../media/image3.emf"/><Relationship Id="rId5" Type="http://schemas.openxmlformats.org/officeDocument/2006/relationships/image" Target="../media/image2.emf"/><Relationship Id="rId4" Type="http://schemas.openxmlformats.org/officeDocument/2006/relationships/image" Target="../media/image6.emf"/><Relationship Id="rId9" Type="http://schemas.openxmlformats.org/officeDocument/2006/relationships/image" Target="../media/image10.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6.emf"/><Relationship Id="rId3" Type="http://schemas.openxmlformats.org/officeDocument/2006/relationships/image" Target="../media/image18.emf"/><Relationship Id="rId7" Type="http://schemas.openxmlformats.org/officeDocument/2006/relationships/image" Target="../media/image9.emf"/><Relationship Id="rId2" Type="http://schemas.openxmlformats.org/officeDocument/2006/relationships/image" Target="../media/image19.emf"/><Relationship Id="rId1" Type="http://schemas.openxmlformats.org/officeDocument/2006/relationships/image" Target="../media/image20.emf"/><Relationship Id="rId6" Type="http://schemas.openxmlformats.org/officeDocument/2006/relationships/image" Target="../media/image8.emf"/><Relationship Id="rId5" Type="http://schemas.openxmlformats.org/officeDocument/2006/relationships/image" Target="../media/image7.emf"/><Relationship Id="rId10" Type="http://schemas.openxmlformats.org/officeDocument/2006/relationships/image" Target="../media/image4.emf"/><Relationship Id="rId4" Type="http://schemas.openxmlformats.org/officeDocument/2006/relationships/image" Target="../media/image17.emf"/><Relationship Id="rId9" Type="http://schemas.openxmlformats.org/officeDocument/2006/relationships/image" Target="../media/image1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6.emf"/><Relationship Id="rId7" Type="http://schemas.openxmlformats.org/officeDocument/2006/relationships/image" Target="../media/image16.emf"/><Relationship Id="rId2" Type="http://schemas.openxmlformats.org/officeDocument/2006/relationships/image" Target="../media/image21.emf"/><Relationship Id="rId1" Type="http://schemas.openxmlformats.org/officeDocument/2006/relationships/image" Target="../media/image22.emf"/><Relationship Id="rId6" Type="http://schemas.openxmlformats.org/officeDocument/2006/relationships/image" Target="../media/image1.emf"/><Relationship Id="rId5" Type="http://schemas.openxmlformats.org/officeDocument/2006/relationships/image" Target="../media/image7.emf"/><Relationship Id="rId4" Type="http://schemas.openxmlformats.org/officeDocument/2006/relationships/image" Target="../media/image9.emf"/></Relationships>
</file>

<file path=xl/drawings/drawing1.xml><?xml version="1.0" encoding="utf-8"?>
<xdr:wsDr xmlns:xdr="http://schemas.openxmlformats.org/drawingml/2006/spreadsheetDrawing" xmlns:a="http://schemas.openxmlformats.org/drawingml/2006/main">
  <xdr:twoCellAnchor editAs="oneCell">
    <xdr:from>
      <xdr:col>18</xdr:col>
      <xdr:colOff>173871</xdr:colOff>
      <xdr:row>5</xdr:row>
      <xdr:rowOff>35332</xdr:rowOff>
    </xdr:from>
    <xdr:to>
      <xdr:col>21</xdr:col>
      <xdr:colOff>147996</xdr:colOff>
      <xdr:row>6</xdr:row>
      <xdr:rowOff>157421</xdr:rowOff>
    </xdr:to>
    <xdr:pic>
      <xdr:nvPicPr>
        <xdr:cNvPr id="3" name="ILB_Logo_Seite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87191" y="743992"/>
          <a:ext cx="1260000" cy="312589"/>
        </a:xfrm>
        <a:prstGeom prst="rect">
          <a:avLst/>
        </a:prstGeom>
      </xdr:spPr>
    </xdr:pic>
    <xdr:clientData/>
  </xdr:twoCellAnchor>
  <mc:AlternateContent xmlns:mc="http://schemas.openxmlformats.org/markup-compatibility/2006">
    <mc:Choice xmlns:a14="http://schemas.microsoft.com/office/drawing/2010/main" Requires="a14">
      <xdr:twoCellAnchor>
        <xdr:from>
          <xdr:col>3</xdr:col>
          <xdr:colOff>9525</xdr:colOff>
          <xdr:row>49</xdr:row>
          <xdr:rowOff>9525</xdr:rowOff>
        </xdr:from>
        <xdr:to>
          <xdr:col>21</xdr:col>
          <xdr:colOff>0</xdr:colOff>
          <xdr:row>51</xdr:row>
          <xdr:rowOff>9525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1" i="0" u="none" strike="noStrike" baseline="0">
                  <a:solidFill>
                    <a:srgbClr val="BE0F34"/>
                  </a:solidFill>
                  <a:latin typeface="Arial"/>
                  <a:cs typeface="Arial"/>
                </a:rPr>
                <a:t>Zur Berechnung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57150</xdr:rowOff>
        </xdr:from>
        <xdr:to>
          <xdr:col>2</xdr:col>
          <xdr:colOff>38100</xdr:colOff>
          <xdr:row>6</xdr:row>
          <xdr:rowOff>114300</xdr:rowOff>
        </xdr:to>
        <xdr:sp macro="" textlink="">
          <xdr:nvSpPr>
            <xdr:cNvPr id="2052" name="cmdInfo"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57150</xdr:rowOff>
        </xdr:from>
        <xdr:to>
          <xdr:col>2</xdr:col>
          <xdr:colOff>38100</xdr:colOff>
          <xdr:row>6</xdr:row>
          <xdr:rowOff>114300</xdr:rowOff>
        </xdr:to>
        <xdr:sp macro="" textlink="">
          <xdr:nvSpPr>
            <xdr:cNvPr id="2050" name="cmdBerechnung"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xdr:row>
          <xdr:rowOff>57150</xdr:rowOff>
        </xdr:from>
        <xdr:to>
          <xdr:col>23</xdr:col>
          <xdr:colOff>38100</xdr:colOff>
          <xdr:row>6</xdr:row>
          <xdr:rowOff>114300</xdr:rowOff>
        </xdr:to>
        <xdr:sp macro="" textlink="">
          <xdr:nvSpPr>
            <xdr:cNvPr id="2051" name="cmdGrunddaten"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5</xdr:row>
          <xdr:rowOff>57150</xdr:rowOff>
        </xdr:from>
        <xdr:to>
          <xdr:col>23</xdr:col>
          <xdr:colOff>38100</xdr:colOff>
          <xdr:row>6</xdr:row>
          <xdr:rowOff>114300</xdr:rowOff>
        </xdr:to>
        <xdr:sp macro="" textlink="">
          <xdr:nvSpPr>
            <xdr:cNvPr id="2054" name="cmdProg_Versionen"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54</xdr:row>
          <xdr:rowOff>38100</xdr:rowOff>
        </xdr:from>
        <xdr:to>
          <xdr:col>3</xdr:col>
          <xdr:colOff>257175</xdr:colOff>
          <xdr:row>54</xdr:row>
          <xdr:rowOff>285750</xdr:rowOff>
        </xdr:to>
        <xdr:sp macro="" textlink="">
          <xdr:nvSpPr>
            <xdr:cNvPr id="2055" name="helpVersionen"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54</xdr:row>
          <xdr:rowOff>38100</xdr:rowOff>
        </xdr:from>
        <xdr:to>
          <xdr:col>3</xdr:col>
          <xdr:colOff>257175</xdr:colOff>
          <xdr:row>54</xdr:row>
          <xdr:rowOff>285750</xdr:rowOff>
        </xdr:to>
        <xdr:sp macro="" textlink="">
          <xdr:nvSpPr>
            <xdr:cNvPr id="2056" name="helpStartseite"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56</xdr:row>
          <xdr:rowOff>38100</xdr:rowOff>
        </xdr:from>
        <xdr:to>
          <xdr:col>3</xdr:col>
          <xdr:colOff>257175</xdr:colOff>
          <xdr:row>56</xdr:row>
          <xdr:rowOff>285750</xdr:rowOff>
        </xdr:to>
        <xdr:sp macro="" textlink="">
          <xdr:nvSpPr>
            <xdr:cNvPr id="2057" name="helpInformation"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61</xdr:row>
          <xdr:rowOff>38100</xdr:rowOff>
        </xdr:from>
        <xdr:to>
          <xdr:col>3</xdr:col>
          <xdr:colOff>257175</xdr:colOff>
          <xdr:row>61</xdr:row>
          <xdr:rowOff>285750</xdr:rowOff>
        </xdr:to>
        <xdr:sp macro="" textlink="">
          <xdr:nvSpPr>
            <xdr:cNvPr id="2058" name="helpAusdruck"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61</xdr:row>
          <xdr:rowOff>38100</xdr:rowOff>
        </xdr:from>
        <xdr:to>
          <xdr:col>3</xdr:col>
          <xdr:colOff>257175</xdr:colOff>
          <xdr:row>61</xdr:row>
          <xdr:rowOff>285750</xdr:rowOff>
        </xdr:to>
        <xdr:sp macro="" textlink="">
          <xdr:nvSpPr>
            <xdr:cNvPr id="2059" name="helpBerechnung"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61</xdr:row>
          <xdr:rowOff>38100</xdr:rowOff>
        </xdr:from>
        <xdr:to>
          <xdr:col>3</xdr:col>
          <xdr:colOff>257175</xdr:colOff>
          <xdr:row>61</xdr:row>
          <xdr:rowOff>285750</xdr:rowOff>
        </xdr:to>
        <xdr:sp macro="" textlink="">
          <xdr:nvSpPr>
            <xdr:cNvPr id="2060" name="helpReset"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57</xdr:row>
          <xdr:rowOff>38100</xdr:rowOff>
        </xdr:from>
        <xdr:to>
          <xdr:col>3</xdr:col>
          <xdr:colOff>257175</xdr:colOff>
          <xdr:row>57</xdr:row>
          <xdr:rowOff>285750</xdr:rowOff>
        </xdr:to>
        <xdr:sp macro="" textlink="">
          <xdr:nvSpPr>
            <xdr:cNvPr id="2061" name="helpHilfe"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56</xdr:row>
          <xdr:rowOff>38100</xdr:rowOff>
        </xdr:from>
        <xdr:to>
          <xdr:col>3</xdr:col>
          <xdr:colOff>257175</xdr:colOff>
          <xdr:row>56</xdr:row>
          <xdr:rowOff>285750</xdr:rowOff>
        </xdr:to>
        <xdr:sp macro="" textlink="">
          <xdr:nvSpPr>
            <xdr:cNvPr id="2062" name="helpGrunddaten"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61</xdr:row>
          <xdr:rowOff>38100</xdr:rowOff>
        </xdr:from>
        <xdr:to>
          <xdr:col>3</xdr:col>
          <xdr:colOff>257175</xdr:colOff>
          <xdr:row>61</xdr:row>
          <xdr:rowOff>285750</xdr:rowOff>
        </xdr:to>
        <xdr:sp macro="" textlink="">
          <xdr:nvSpPr>
            <xdr:cNvPr id="2063" name="helpBackups"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20</xdr:col>
      <xdr:colOff>419100</xdr:colOff>
      <xdr:row>5</xdr:row>
      <xdr:rowOff>25400</xdr:rowOff>
    </xdr:from>
    <xdr:ext cx="1199645" cy="330200"/>
    <xdr:pic>
      <xdr:nvPicPr>
        <xdr:cNvPr id="4" name="ILB_Logo_Seite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7800" y="415925"/>
          <a:ext cx="1199645" cy="33020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5</xdr:col>
          <xdr:colOff>266700</xdr:colOff>
          <xdr:row>5</xdr:row>
          <xdr:rowOff>57150</xdr:rowOff>
        </xdr:from>
        <xdr:to>
          <xdr:col>5</xdr:col>
          <xdr:colOff>514350</xdr:colOff>
          <xdr:row>6</xdr:row>
          <xdr:rowOff>114300</xdr:rowOff>
        </xdr:to>
        <xdr:sp macro="" textlink="">
          <xdr:nvSpPr>
            <xdr:cNvPr id="1138" name="cmdInfo" hidden="1">
              <a:extLst>
                <a:ext uri="{63B3BB69-23CF-44E3-9099-C40C66FF867C}">
                  <a14:compatExt spid="_x0000_s1138"/>
                </a:ext>
                <a:ext uri="{FF2B5EF4-FFF2-40B4-BE49-F238E27FC236}">
                  <a16:creationId xmlns:a16="http://schemas.microsoft.com/office/drawing/2014/main" id="{00000000-0008-0000-0100-00007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542925</xdr:colOff>
          <xdr:row>5</xdr:row>
          <xdr:rowOff>57150</xdr:rowOff>
        </xdr:from>
        <xdr:to>
          <xdr:col>5</xdr:col>
          <xdr:colOff>133350</xdr:colOff>
          <xdr:row>6</xdr:row>
          <xdr:rowOff>114300</xdr:rowOff>
        </xdr:to>
        <xdr:sp macro="" textlink="">
          <xdr:nvSpPr>
            <xdr:cNvPr id="1135" name="cmdHome" hidden="1">
              <a:extLst>
                <a:ext uri="{63B3BB69-23CF-44E3-9099-C40C66FF867C}">
                  <a14:compatExt spid="_x0000_s1135"/>
                </a:ext>
                <a:ext uri="{FF2B5EF4-FFF2-40B4-BE49-F238E27FC236}">
                  <a16:creationId xmlns:a16="http://schemas.microsoft.com/office/drawing/2014/main" id="{00000000-0008-0000-0100-00006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57150</xdr:colOff>
          <xdr:row>5</xdr:row>
          <xdr:rowOff>57150</xdr:rowOff>
        </xdr:from>
        <xdr:to>
          <xdr:col>20</xdr:col>
          <xdr:colOff>104775</xdr:colOff>
          <xdr:row>6</xdr:row>
          <xdr:rowOff>114300</xdr:rowOff>
        </xdr:to>
        <xdr:sp macro="" textlink="">
          <xdr:nvSpPr>
            <xdr:cNvPr id="1139" name="cmdHilfe" hidden="1">
              <a:extLst>
                <a:ext uri="{63B3BB69-23CF-44E3-9099-C40C66FF867C}">
                  <a14:compatExt spid="_x0000_s1139"/>
                </a:ext>
                <a:ext uri="{FF2B5EF4-FFF2-40B4-BE49-F238E27FC236}">
                  <a16:creationId xmlns:a16="http://schemas.microsoft.com/office/drawing/2014/main" id="{00000000-0008-0000-0100-00007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57150</xdr:rowOff>
        </xdr:from>
        <xdr:to>
          <xdr:col>2</xdr:col>
          <xdr:colOff>47625</xdr:colOff>
          <xdr:row>6</xdr:row>
          <xdr:rowOff>114300</xdr:rowOff>
        </xdr:to>
        <xdr:sp macro="" textlink="">
          <xdr:nvSpPr>
            <xdr:cNvPr id="1137" name="cmdGrunddaten" hidden="1">
              <a:extLst>
                <a:ext uri="{63B3BB69-23CF-44E3-9099-C40C66FF867C}">
                  <a14:compatExt spid="_x0000_s1137"/>
                </a:ext>
                <a:ext uri="{FF2B5EF4-FFF2-40B4-BE49-F238E27FC236}">
                  <a16:creationId xmlns:a16="http://schemas.microsoft.com/office/drawing/2014/main" id="{00000000-0008-0000-0100-00007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57150</xdr:rowOff>
        </xdr:from>
        <xdr:to>
          <xdr:col>2</xdr:col>
          <xdr:colOff>47625</xdr:colOff>
          <xdr:row>6</xdr:row>
          <xdr:rowOff>114300</xdr:rowOff>
        </xdr:to>
        <xdr:sp macro="" textlink="">
          <xdr:nvSpPr>
            <xdr:cNvPr id="1136" name="cmdProg_Versionen" hidden="1">
              <a:extLst>
                <a:ext uri="{63B3BB69-23CF-44E3-9099-C40C66FF867C}">
                  <a14:compatExt spid="_x0000_s1136"/>
                </a:ext>
                <a:ext uri="{FF2B5EF4-FFF2-40B4-BE49-F238E27FC236}">
                  <a16:creationId xmlns:a16="http://schemas.microsoft.com/office/drawing/2014/main" id="{00000000-0008-0000-0100-00007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9</xdr:row>
          <xdr:rowOff>0</xdr:rowOff>
        </xdr:from>
        <xdr:to>
          <xdr:col>6</xdr:col>
          <xdr:colOff>304800</xdr:colOff>
          <xdr:row>10</xdr:row>
          <xdr:rowOff>0</xdr:rowOff>
        </xdr:to>
        <xdr:sp macro="" textlink="">
          <xdr:nvSpPr>
            <xdr:cNvPr id="1155" name="MaßnahmeNeubauOhne" hidden="1">
              <a:extLst>
                <a:ext uri="{63B3BB69-23CF-44E3-9099-C40C66FF867C}">
                  <a14:compatExt spid="_x0000_s1155"/>
                </a:ext>
                <a:ext uri="{FF2B5EF4-FFF2-40B4-BE49-F238E27FC236}">
                  <a16:creationId xmlns:a16="http://schemas.microsoft.com/office/drawing/2014/main" id="{00000000-0008-0000-01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10</xdr:row>
          <xdr:rowOff>0</xdr:rowOff>
        </xdr:from>
        <xdr:to>
          <xdr:col>6</xdr:col>
          <xdr:colOff>304800</xdr:colOff>
          <xdr:row>11</xdr:row>
          <xdr:rowOff>0</xdr:rowOff>
        </xdr:to>
        <xdr:sp macro="" textlink="">
          <xdr:nvSpPr>
            <xdr:cNvPr id="1156" name="MaßnahmeNeubauMit" hidden="1">
              <a:extLst>
                <a:ext uri="{63B3BB69-23CF-44E3-9099-C40C66FF867C}">
                  <a14:compatExt spid="_x0000_s1156"/>
                </a:ext>
                <a:ext uri="{FF2B5EF4-FFF2-40B4-BE49-F238E27FC236}">
                  <a16:creationId xmlns:a16="http://schemas.microsoft.com/office/drawing/2014/main" id="{00000000-0008-0000-0100-00008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9</xdr:row>
          <xdr:rowOff>0</xdr:rowOff>
        </xdr:from>
        <xdr:to>
          <xdr:col>11</xdr:col>
          <xdr:colOff>847725</xdr:colOff>
          <xdr:row>10</xdr:row>
          <xdr:rowOff>0</xdr:rowOff>
        </xdr:to>
        <xdr:sp macro="" textlink="">
          <xdr:nvSpPr>
            <xdr:cNvPr id="1157" name="MaßnahmeUmbauOhne" hidden="1">
              <a:extLst>
                <a:ext uri="{63B3BB69-23CF-44E3-9099-C40C66FF867C}">
                  <a14:compatExt spid="_x0000_s1157"/>
                </a:ext>
                <a:ext uri="{FF2B5EF4-FFF2-40B4-BE49-F238E27FC236}">
                  <a16:creationId xmlns:a16="http://schemas.microsoft.com/office/drawing/2014/main" id="{00000000-0008-0000-01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10</xdr:row>
          <xdr:rowOff>0</xdr:rowOff>
        </xdr:from>
        <xdr:to>
          <xdr:col>11</xdr:col>
          <xdr:colOff>847725</xdr:colOff>
          <xdr:row>11</xdr:row>
          <xdr:rowOff>0</xdr:rowOff>
        </xdr:to>
        <xdr:sp macro="" textlink="">
          <xdr:nvSpPr>
            <xdr:cNvPr id="1158" name="MaßnahmeUmbauMit" hidden="1">
              <a:extLst>
                <a:ext uri="{63B3BB69-23CF-44E3-9099-C40C66FF867C}">
                  <a14:compatExt spid="_x0000_s1158"/>
                </a:ext>
                <a:ext uri="{FF2B5EF4-FFF2-40B4-BE49-F238E27FC236}">
                  <a16:creationId xmlns:a16="http://schemas.microsoft.com/office/drawing/2014/main" id="{00000000-0008-0000-0100-00008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9</xdr:row>
          <xdr:rowOff>0</xdr:rowOff>
        </xdr:from>
        <xdr:to>
          <xdr:col>18</xdr:col>
          <xdr:colOff>38100</xdr:colOff>
          <xdr:row>10</xdr:row>
          <xdr:rowOff>0</xdr:rowOff>
        </xdr:to>
        <xdr:sp macro="" textlink="">
          <xdr:nvSpPr>
            <xdr:cNvPr id="1159" name="MaßnahmeModInstOhne" hidden="1">
              <a:extLst>
                <a:ext uri="{63B3BB69-23CF-44E3-9099-C40C66FF867C}">
                  <a14:compatExt spid="_x0000_s1159"/>
                </a:ext>
                <a:ext uri="{FF2B5EF4-FFF2-40B4-BE49-F238E27FC236}">
                  <a16:creationId xmlns:a16="http://schemas.microsoft.com/office/drawing/2014/main" id="{00000000-0008-0000-0100-00008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9</xdr:row>
          <xdr:rowOff>0</xdr:rowOff>
        </xdr:from>
        <xdr:to>
          <xdr:col>24</xdr:col>
          <xdr:colOff>85725</xdr:colOff>
          <xdr:row>10</xdr:row>
          <xdr:rowOff>0</xdr:rowOff>
        </xdr:to>
        <xdr:sp macro="" textlink="">
          <xdr:nvSpPr>
            <xdr:cNvPr id="1160" name="MaßnahmeAufzug" hidden="1">
              <a:extLst>
                <a:ext uri="{63B3BB69-23CF-44E3-9099-C40C66FF867C}">
                  <a14:compatExt spid="_x0000_s1160"/>
                </a:ext>
                <a:ext uri="{FF2B5EF4-FFF2-40B4-BE49-F238E27FC236}">
                  <a16:creationId xmlns:a16="http://schemas.microsoft.com/office/drawing/2014/main" id="{00000000-0008-0000-0100-00008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20</xdr:col>
      <xdr:colOff>419100</xdr:colOff>
      <xdr:row>158</xdr:row>
      <xdr:rowOff>25400</xdr:rowOff>
    </xdr:from>
    <xdr:ext cx="1211292" cy="330200"/>
    <xdr:pic>
      <xdr:nvPicPr>
        <xdr:cNvPr id="24" name="ILB_Logo_Seite2" hidden="1">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67800" y="14217650"/>
          <a:ext cx="1211292" cy="33020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18</xdr:col>
          <xdr:colOff>104775</xdr:colOff>
          <xdr:row>5</xdr:row>
          <xdr:rowOff>57150</xdr:rowOff>
        </xdr:from>
        <xdr:to>
          <xdr:col>18</xdr:col>
          <xdr:colOff>352425</xdr:colOff>
          <xdr:row>6</xdr:row>
          <xdr:rowOff>114300</xdr:rowOff>
        </xdr:to>
        <xdr:sp macro="" textlink="">
          <xdr:nvSpPr>
            <xdr:cNvPr id="1163" name="cmdDelete" hidden="1">
              <a:extLst>
                <a:ext uri="{63B3BB69-23CF-44E3-9099-C40C66FF867C}">
                  <a14:compatExt spid="_x0000_s1163"/>
                </a:ext>
                <a:ext uri="{FF2B5EF4-FFF2-40B4-BE49-F238E27FC236}">
                  <a16:creationId xmlns:a16="http://schemas.microsoft.com/office/drawing/2014/main" id="{00000000-0008-0000-0100-00008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xdr:row>
          <xdr:rowOff>57150</xdr:rowOff>
        </xdr:from>
        <xdr:to>
          <xdr:col>26</xdr:col>
          <xdr:colOff>47625</xdr:colOff>
          <xdr:row>6</xdr:row>
          <xdr:rowOff>114300</xdr:rowOff>
        </xdr:to>
        <xdr:sp macro="" textlink="">
          <xdr:nvSpPr>
            <xdr:cNvPr id="1164" name="cmdZielwert" hidden="1">
              <a:extLst>
                <a:ext uri="{63B3BB69-23CF-44E3-9099-C40C66FF867C}">
                  <a14:compatExt spid="_x0000_s1164"/>
                </a:ext>
                <a:ext uri="{FF2B5EF4-FFF2-40B4-BE49-F238E27FC236}">
                  <a16:creationId xmlns:a16="http://schemas.microsoft.com/office/drawing/2014/main" id="{00000000-0008-0000-0100-00008C0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xdr:row>
          <xdr:rowOff>57150</xdr:rowOff>
        </xdr:from>
        <xdr:to>
          <xdr:col>2</xdr:col>
          <xdr:colOff>47625</xdr:colOff>
          <xdr:row>6</xdr:row>
          <xdr:rowOff>114300</xdr:rowOff>
        </xdr:to>
        <xdr:sp macro="" textlink="">
          <xdr:nvSpPr>
            <xdr:cNvPr id="1165" name="cmdPrintout" hidden="1">
              <a:extLst>
                <a:ext uri="{63B3BB69-23CF-44E3-9099-C40C66FF867C}">
                  <a14:compatExt spid="_x0000_s1165"/>
                </a:ext>
                <a:ext uri="{FF2B5EF4-FFF2-40B4-BE49-F238E27FC236}">
                  <a16:creationId xmlns:a16="http://schemas.microsoft.com/office/drawing/2014/main" id="{00000000-0008-0000-0100-00008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0</xdr:colOff>
          <xdr:row>5</xdr:row>
          <xdr:rowOff>57150</xdr:rowOff>
        </xdr:from>
        <xdr:to>
          <xdr:col>26</xdr:col>
          <xdr:colOff>47625</xdr:colOff>
          <xdr:row>6</xdr:row>
          <xdr:rowOff>114300</xdr:rowOff>
        </xdr:to>
        <xdr:sp macro="" textlink="">
          <xdr:nvSpPr>
            <xdr:cNvPr id="1166" name="cmdBackups" hidden="1">
              <a:extLst>
                <a:ext uri="{63B3BB69-23CF-44E3-9099-C40C66FF867C}">
                  <a14:compatExt spid="_x0000_s1166"/>
                </a:ext>
                <a:ext uri="{FF2B5EF4-FFF2-40B4-BE49-F238E27FC236}">
                  <a16:creationId xmlns:a16="http://schemas.microsoft.com/office/drawing/2014/main" id="{00000000-0008-0000-0100-00008E04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xdr:twoCellAnchor>
    <xdr:from>
      <xdr:col>24</xdr:col>
      <xdr:colOff>38100</xdr:colOff>
      <xdr:row>58</xdr:row>
      <xdr:rowOff>25400</xdr:rowOff>
    </xdr:from>
    <xdr:to>
      <xdr:col>24</xdr:col>
      <xdr:colOff>177800</xdr:colOff>
      <xdr:row>58</xdr:row>
      <xdr:rowOff>152400</xdr:rowOff>
    </xdr:to>
    <xdr:pic macro="[0]!Dialog_Tilgungssatz_MWB_FR">
      <xdr:nvPicPr>
        <xdr:cNvPr id="3" name="cmdTilgungssatz" hidden="1">
          <a:extLst>
            <a:ext uri="{FF2B5EF4-FFF2-40B4-BE49-F238E27FC236}">
              <a16:creationId xmlns:a16="http://schemas.microsoft.com/office/drawing/2014/main" id="{00000000-0008-0000-0100-000003000000}"/>
            </a:ext>
          </a:extLst>
        </xdr:cNvPr>
        <xdr:cNvPicPr>
          <a:picLocks/>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10248900" y="9226550"/>
          <a:ext cx="139700" cy="127000"/>
        </a:xfrm>
        <a:prstGeom prst="rect">
          <a:avLst/>
        </a:prstGeom>
      </xdr:spPr>
    </xdr:pic>
    <xdr:clientData fPrintsWithSheet="0"/>
  </xdr:twoCellAnchor>
  <xdr:twoCellAnchor>
    <xdr:from>
      <xdr:col>24</xdr:col>
      <xdr:colOff>25400</xdr:colOff>
      <xdr:row>75</xdr:row>
      <xdr:rowOff>12700</xdr:rowOff>
    </xdr:from>
    <xdr:to>
      <xdr:col>24</xdr:col>
      <xdr:colOff>190500</xdr:colOff>
      <xdr:row>76</xdr:row>
      <xdr:rowOff>15875</xdr:rowOff>
    </xdr:to>
    <xdr:pic macro="[0]!Dialog_Eigenzinsen_MWB_FR">
      <xdr:nvPicPr>
        <xdr:cNvPr id="6" name="cmdEigenzinsen" hidden="1">
          <a:extLst>
            <a:ext uri="{FF2B5EF4-FFF2-40B4-BE49-F238E27FC236}">
              <a16:creationId xmlns:a16="http://schemas.microsoft.com/office/drawing/2014/main" id="{00000000-0008-0000-0100-000006000000}"/>
            </a:ext>
          </a:extLst>
        </xdr:cNvPr>
        <xdr:cNvPicPr>
          <a:picLocks/>
        </xdr:cNvPicPr>
      </xdr:nvPicPr>
      <xdr:blipFill>
        <a:blip xmlns:r="http://schemas.openxmlformats.org/officeDocument/2006/relationships" r:embed="rId3"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10236200" y="11090275"/>
          <a:ext cx="165100" cy="165100"/>
        </a:xfrm>
        <a:prstGeom prst="rect">
          <a:avLst/>
        </a:prstGeom>
      </xdr:spPr>
    </xdr:pic>
    <xdr:clientData fPrintsWithSheet="0"/>
  </xdr:twoCellAnchor>
  <xdr:twoCellAnchor>
    <xdr:from>
      <xdr:col>24</xdr:col>
      <xdr:colOff>25400</xdr:colOff>
      <xdr:row>39</xdr:row>
      <xdr:rowOff>12700</xdr:rowOff>
    </xdr:from>
    <xdr:to>
      <xdr:col>24</xdr:col>
      <xdr:colOff>190500</xdr:colOff>
      <xdr:row>40</xdr:row>
      <xdr:rowOff>6350</xdr:rowOff>
    </xdr:to>
    <xdr:pic macro="[0]!Dialog_Eigenkapital_MWB_FR">
      <xdr:nvPicPr>
        <xdr:cNvPr id="26" name="cmdEigenkapital" hidden="1">
          <a:extLst>
            <a:ext uri="{FF2B5EF4-FFF2-40B4-BE49-F238E27FC236}">
              <a16:creationId xmlns:a16="http://schemas.microsoft.com/office/drawing/2014/main" id="{00000000-0008-0000-0100-00001A000000}"/>
            </a:ext>
          </a:extLst>
        </xdr:cNvPr>
        <xdr:cNvPicPr>
          <a:picLocks/>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10236200" y="6203950"/>
          <a:ext cx="165100" cy="16510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oneCell">
        <xdr:from>
          <xdr:col>13</xdr:col>
          <xdr:colOff>0</xdr:colOff>
          <xdr:row>10</xdr:row>
          <xdr:rowOff>0</xdr:rowOff>
        </xdr:from>
        <xdr:to>
          <xdr:col>18</xdr:col>
          <xdr:colOff>38100</xdr:colOff>
          <xdr:row>11</xdr:row>
          <xdr:rowOff>0</xdr:rowOff>
        </xdr:to>
        <xdr:sp macro="" textlink="">
          <xdr:nvSpPr>
            <xdr:cNvPr id="1468" name="MaßnahmeModInstMit" hidden="1">
              <a:extLst>
                <a:ext uri="{63B3BB69-23CF-44E3-9099-C40C66FF867C}">
                  <a14:compatExt spid="_x0000_s1468"/>
                </a:ext>
                <a:ext uri="{FF2B5EF4-FFF2-40B4-BE49-F238E27FC236}">
                  <a16:creationId xmlns:a16="http://schemas.microsoft.com/office/drawing/2014/main" id="{00000000-0008-0000-0100-0000B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24</xdr:col>
      <xdr:colOff>38100</xdr:colOff>
      <xdr:row>28</xdr:row>
      <xdr:rowOff>12700</xdr:rowOff>
    </xdr:from>
    <xdr:to>
      <xdr:col>25</xdr:col>
      <xdr:colOff>3175</xdr:colOff>
      <xdr:row>29</xdr:row>
      <xdr:rowOff>6350</xdr:rowOff>
    </xdr:to>
    <xdr:pic macro="[0]!Dialog_FreieMiete_MWB_FR">
      <xdr:nvPicPr>
        <xdr:cNvPr id="23" name="cmdFreieMiete" hidden="1">
          <a:extLst>
            <a:ext uri="{FF2B5EF4-FFF2-40B4-BE49-F238E27FC236}">
              <a16:creationId xmlns:a16="http://schemas.microsoft.com/office/drawing/2014/main" id="{00000000-0008-0000-0100-000017000000}"/>
            </a:ext>
          </a:extLst>
        </xdr:cNvPr>
        <xdr:cNvPicPr>
          <a:picLocks/>
        </xdr:cNvPicPr>
      </xdr:nvPicPr>
      <xdr:blipFill>
        <a:blip xmlns:r="http://schemas.openxmlformats.org/officeDocument/2006/relationships" r:embed="rId4"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10248900" y="4489450"/>
          <a:ext cx="165100" cy="165100"/>
        </a:xfrm>
        <a:prstGeom prst="rect">
          <a:avLst/>
        </a:prstGeom>
      </xdr:spPr>
    </xdr:pic>
    <xdr:clientData fPrintsWithSheet="0"/>
  </xdr:twoCellAnchor>
  <xdr:twoCellAnchor>
    <xdr:from>
      <xdr:col>24</xdr:col>
      <xdr:colOff>38100</xdr:colOff>
      <xdr:row>20</xdr:row>
      <xdr:rowOff>25400</xdr:rowOff>
    </xdr:from>
    <xdr:to>
      <xdr:col>24</xdr:col>
      <xdr:colOff>190500</xdr:colOff>
      <xdr:row>20</xdr:row>
      <xdr:rowOff>177800</xdr:rowOff>
    </xdr:to>
    <xdr:pic macro="[0]!Dialog_Bindungen_MWB_FR">
      <xdr:nvPicPr>
        <xdr:cNvPr id="25" name="cmdBindungen" hidden="1">
          <a:extLst>
            <a:ext uri="{FF2B5EF4-FFF2-40B4-BE49-F238E27FC236}">
              <a16:creationId xmlns:a16="http://schemas.microsoft.com/office/drawing/2014/main" id="{00000000-0008-0000-0100-000019000000}"/>
            </a:ext>
          </a:extLst>
        </xdr:cNvPr>
        <xdr:cNvPicPr preferRelativeResize="0">
          <a:picLocks noChangeAspect="1"/>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10248900" y="3282950"/>
          <a:ext cx="152400" cy="152400"/>
        </a:xfrm>
        <a:prstGeom prst="rect">
          <a:avLst/>
        </a:prstGeom>
      </xdr:spPr>
    </xdr:pic>
    <xdr:clientData fPrintsWithSheet="0"/>
  </xdr:twoCellAnchor>
  <xdr:twoCellAnchor>
    <xdr:from>
      <xdr:col>24</xdr:col>
      <xdr:colOff>38100</xdr:colOff>
      <xdr:row>58</xdr:row>
      <xdr:rowOff>25400</xdr:rowOff>
    </xdr:from>
    <xdr:to>
      <xdr:col>24</xdr:col>
      <xdr:colOff>177800</xdr:colOff>
      <xdr:row>58</xdr:row>
      <xdr:rowOff>152400</xdr:rowOff>
    </xdr:to>
    <xdr:pic macro="[0]!Dialog_Satzabsenkung_MWB_FR">
      <xdr:nvPicPr>
        <xdr:cNvPr id="27" name="cmdSatzabsenkung" hidden="1">
          <a:extLst>
            <a:ext uri="{FF2B5EF4-FFF2-40B4-BE49-F238E27FC236}">
              <a16:creationId xmlns:a16="http://schemas.microsoft.com/office/drawing/2014/main" id="{00000000-0008-0000-0100-00001B000000}"/>
            </a:ext>
          </a:extLst>
        </xdr:cNvPr>
        <xdr:cNvPicPr>
          <a:picLocks/>
        </xdr:cNvPicPr>
      </xdr:nvPicPr>
      <xdr:blipFill>
        <a:blip xmlns:r="http://schemas.openxmlformats.org/officeDocument/2006/relationships" r:embed="rId2" cstate="print">
          <a:duotone>
            <a:schemeClr val="accent4">
              <a:shade val="45000"/>
              <a:satMod val="135000"/>
            </a:schemeClr>
            <a:prstClr val="white"/>
          </a:duotone>
          <a:extLst>
            <a:ext uri="{28A0092B-C50C-407E-A947-70E740481C1C}">
              <a14:useLocalDpi xmlns:a14="http://schemas.microsoft.com/office/drawing/2010/main" val="0"/>
            </a:ext>
          </a:extLst>
        </a:blip>
        <a:stretch>
          <a:fillRect/>
        </a:stretch>
      </xdr:blipFill>
      <xdr:spPr>
        <a:xfrm>
          <a:off x="10248900" y="9226550"/>
          <a:ext cx="139700" cy="127000"/>
        </a:xfrm>
        <a:prstGeom prst="rect">
          <a:avLst/>
        </a:prstGeom>
      </xdr:spPr>
    </xdr:pic>
    <xdr:clientData fPrintsWithSheet="0"/>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123825</xdr:colOff>
          <xdr:row>37</xdr:row>
          <xdr:rowOff>190500</xdr:rowOff>
        </xdr:from>
        <xdr:to>
          <xdr:col>2</xdr:col>
          <xdr:colOff>371475</xdr:colOff>
          <xdr:row>37</xdr:row>
          <xdr:rowOff>438150</xdr:rowOff>
        </xdr:to>
        <xdr:sp macro="" textlink="">
          <xdr:nvSpPr>
            <xdr:cNvPr id="8196" name="cmdEntsperren" hidden="1">
              <a:extLst>
                <a:ext uri="{63B3BB69-23CF-44E3-9099-C40C66FF867C}">
                  <a14:compatExt spid="_x0000_s8196"/>
                </a:ext>
                <a:ext uri="{FF2B5EF4-FFF2-40B4-BE49-F238E27FC236}">
                  <a16:creationId xmlns:a16="http://schemas.microsoft.com/office/drawing/2014/main" id="{00000000-0008-0000-0200-000004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8</xdr:row>
          <xdr:rowOff>190500</xdr:rowOff>
        </xdr:from>
        <xdr:to>
          <xdr:col>3</xdr:col>
          <xdr:colOff>28575</xdr:colOff>
          <xdr:row>8</xdr:row>
          <xdr:rowOff>438150</xdr:rowOff>
        </xdr:to>
        <xdr:sp macro="" textlink="">
          <xdr:nvSpPr>
            <xdr:cNvPr id="8194" name="cmdNeuerEintragBWK" hidden="1">
              <a:extLst>
                <a:ext uri="{63B3BB69-23CF-44E3-9099-C40C66FF867C}">
                  <a14:compatExt spid="_x0000_s8194"/>
                </a:ext>
                <a:ext uri="{FF2B5EF4-FFF2-40B4-BE49-F238E27FC236}">
                  <a16:creationId xmlns:a16="http://schemas.microsoft.com/office/drawing/2014/main" id="{00000000-0008-0000-0200-000002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8</xdr:row>
          <xdr:rowOff>190500</xdr:rowOff>
        </xdr:from>
        <xdr:to>
          <xdr:col>2</xdr:col>
          <xdr:colOff>0</xdr:colOff>
          <xdr:row>8</xdr:row>
          <xdr:rowOff>438150</xdr:rowOff>
        </xdr:to>
        <xdr:sp macro="" textlink="">
          <xdr:nvSpPr>
            <xdr:cNvPr id="8195" name="cmdNeueGliederungBWK" hidden="1">
              <a:extLst>
                <a:ext uri="{63B3BB69-23CF-44E3-9099-C40C66FF867C}">
                  <a14:compatExt spid="_x0000_s8195"/>
                </a:ext>
                <a:ext uri="{FF2B5EF4-FFF2-40B4-BE49-F238E27FC236}">
                  <a16:creationId xmlns:a16="http://schemas.microsoft.com/office/drawing/2014/main" id="{00000000-0008-0000-0200-000003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4</xdr:row>
          <xdr:rowOff>57150</xdr:rowOff>
        </xdr:from>
        <xdr:to>
          <xdr:col>24</xdr:col>
          <xdr:colOff>647700</xdr:colOff>
          <xdr:row>5</xdr:row>
          <xdr:rowOff>114300</xdr:rowOff>
        </xdr:to>
        <xdr:sp macro="" textlink="">
          <xdr:nvSpPr>
            <xdr:cNvPr id="8193" name="cmdSichern" hidden="1">
              <a:extLst>
                <a:ext uri="{63B3BB69-23CF-44E3-9099-C40C66FF867C}">
                  <a14:compatExt spid="_x0000_s8193"/>
                </a:ext>
                <a:ext uri="{FF2B5EF4-FFF2-40B4-BE49-F238E27FC236}">
                  <a16:creationId xmlns:a16="http://schemas.microsoft.com/office/drawing/2014/main" id="{00000000-0008-0000-02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571500</xdr:colOff>
          <xdr:row>4</xdr:row>
          <xdr:rowOff>57150</xdr:rowOff>
        </xdr:from>
        <xdr:to>
          <xdr:col>2</xdr:col>
          <xdr:colOff>819150</xdr:colOff>
          <xdr:row>5</xdr:row>
          <xdr:rowOff>114300</xdr:rowOff>
        </xdr:to>
        <xdr:sp macro="" textlink="">
          <xdr:nvSpPr>
            <xdr:cNvPr id="8200" name="cmdInfo" hidden="1">
              <a:extLst>
                <a:ext uri="{63B3BB69-23CF-44E3-9099-C40C66FF867C}">
                  <a14:compatExt spid="_x0000_s8200"/>
                </a:ext>
                <a:ext uri="{FF2B5EF4-FFF2-40B4-BE49-F238E27FC236}">
                  <a16:creationId xmlns:a16="http://schemas.microsoft.com/office/drawing/2014/main" id="{00000000-0008-0000-0200-000008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219075</xdr:colOff>
          <xdr:row>4</xdr:row>
          <xdr:rowOff>57150</xdr:rowOff>
        </xdr:from>
        <xdr:to>
          <xdr:col>3</xdr:col>
          <xdr:colOff>466725</xdr:colOff>
          <xdr:row>5</xdr:row>
          <xdr:rowOff>114300</xdr:rowOff>
        </xdr:to>
        <xdr:sp macro="" textlink="">
          <xdr:nvSpPr>
            <xdr:cNvPr id="8199" name="cmdBerechnung" hidden="1">
              <a:extLst>
                <a:ext uri="{63B3BB69-23CF-44E3-9099-C40C66FF867C}">
                  <a14:compatExt spid="_x0000_s8199"/>
                </a:ext>
                <a:ext uri="{FF2B5EF4-FFF2-40B4-BE49-F238E27FC236}">
                  <a16:creationId xmlns:a16="http://schemas.microsoft.com/office/drawing/2014/main" id="{00000000-0008-0000-0200-000007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190500</xdr:colOff>
          <xdr:row>4</xdr:row>
          <xdr:rowOff>57150</xdr:rowOff>
        </xdr:from>
        <xdr:to>
          <xdr:col>2</xdr:col>
          <xdr:colOff>438150</xdr:colOff>
          <xdr:row>5</xdr:row>
          <xdr:rowOff>114300</xdr:rowOff>
        </xdr:to>
        <xdr:sp macro="" textlink="">
          <xdr:nvSpPr>
            <xdr:cNvPr id="8197" name="cmdHome" hidden="1">
              <a:extLst>
                <a:ext uri="{63B3BB69-23CF-44E3-9099-C40C66FF867C}">
                  <a14:compatExt spid="_x0000_s8197"/>
                </a:ext>
                <a:ext uri="{FF2B5EF4-FFF2-40B4-BE49-F238E27FC236}">
                  <a16:creationId xmlns:a16="http://schemas.microsoft.com/office/drawing/2014/main" id="{00000000-0008-0000-0200-000005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952500</xdr:colOff>
          <xdr:row>4</xdr:row>
          <xdr:rowOff>57150</xdr:rowOff>
        </xdr:from>
        <xdr:to>
          <xdr:col>3</xdr:col>
          <xdr:colOff>85725</xdr:colOff>
          <xdr:row>5</xdr:row>
          <xdr:rowOff>114300</xdr:rowOff>
        </xdr:to>
        <xdr:sp macro="" textlink="">
          <xdr:nvSpPr>
            <xdr:cNvPr id="8198" name="cmdProg_Versionen"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600075</xdr:colOff>
          <xdr:row>4</xdr:row>
          <xdr:rowOff>57150</xdr:rowOff>
        </xdr:from>
        <xdr:to>
          <xdr:col>3</xdr:col>
          <xdr:colOff>847725</xdr:colOff>
          <xdr:row>5</xdr:row>
          <xdr:rowOff>114300</xdr:rowOff>
        </xdr:to>
        <xdr:sp macro="" textlink="">
          <xdr:nvSpPr>
            <xdr:cNvPr id="8201" name="cmdDatenpflege" hidden="1">
              <a:extLst>
                <a:ext uri="{63B3BB69-23CF-44E3-9099-C40C66FF867C}">
                  <a14:compatExt spid="_x0000_s8201"/>
                </a:ext>
                <a:ext uri="{FF2B5EF4-FFF2-40B4-BE49-F238E27FC236}">
                  <a16:creationId xmlns:a16="http://schemas.microsoft.com/office/drawing/2014/main" id="{00000000-0008-0000-0200-000009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2</xdr:col>
      <xdr:colOff>66675</xdr:colOff>
      <xdr:row>37</xdr:row>
      <xdr:rowOff>304800</xdr:rowOff>
    </xdr:from>
    <xdr:ext cx="1828800" cy="198120"/>
    <xdr:sp macro="[0]!Hide_Shape" textlink="">
      <xdr:nvSpPr>
        <xdr:cNvPr id="5" name="ControlTipText_Entsperren" hidden="1">
          <a:extLst>
            <a:ext uri="{FF2B5EF4-FFF2-40B4-BE49-F238E27FC236}">
              <a16:creationId xmlns:a16="http://schemas.microsoft.com/office/drawing/2014/main" id="{00000000-0008-0000-0200-000005000000}"/>
            </a:ext>
          </a:extLst>
        </xdr:cNvPr>
        <xdr:cNvSpPr/>
      </xdr:nvSpPr>
      <xdr:spPr bwMode="auto">
        <a:xfrm>
          <a:off x="1533525" y="6619875"/>
          <a:ext cx="1828800" cy="198120"/>
        </a:xfrm>
        <a:prstGeom prst="rect">
          <a:avLst/>
        </a:prstGeom>
        <a:solidFill>
          <a:srgbClr val="FFFFCC"/>
        </a:solidFill>
        <a:ln w="9525" cap="flat" cmpd="sng" algn="ctr">
          <a:solidFill>
            <a:schemeClr val="accent1"/>
          </a:solidFill>
          <a:prstDash val="solid"/>
          <a:round/>
          <a:headEnd type="none" w="med" len="med"/>
          <a:tailEnd type="none" w="med" len="med"/>
        </a:ln>
        <a:effectLst/>
        <a:ex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Richtlinienkennzahlen ent-/sperren</a:t>
          </a:r>
        </a:p>
      </xdr:txBody>
    </xdr:sp>
    <xdr:clientData fPrintsWithSheet="0"/>
  </xdr:oneCellAnchor>
  <xdr:oneCellAnchor>
    <xdr:from>
      <xdr:col>7</xdr:col>
      <xdr:colOff>438150</xdr:colOff>
      <xdr:row>5</xdr:row>
      <xdr:rowOff>133350</xdr:rowOff>
    </xdr:from>
    <xdr:ext cx="396240" cy="198120"/>
    <xdr:sp macro="[0]!Hide_Shape" textlink="">
      <xdr:nvSpPr>
        <xdr:cNvPr id="14" name="ControlTipText_Info" hidden="1">
          <a:extLst>
            <a:ext uri="{FF2B5EF4-FFF2-40B4-BE49-F238E27FC236}">
              <a16:creationId xmlns:a16="http://schemas.microsoft.com/office/drawing/2014/main" id="{00000000-0008-0000-0200-00000E000000}"/>
            </a:ext>
          </a:extLst>
        </xdr:cNvPr>
        <xdr:cNvSpPr/>
      </xdr:nvSpPr>
      <xdr:spPr bwMode="auto">
        <a:xfrm>
          <a:off x="7286625" y="619125"/>
          <a:ext cx="396240" cy="198120"/>
        </a:xfrm>
        <a:prstGeom prst="rect">
          <a:avLst/>
        </a:prstGeom>
        <a:solidFill>
          <a:srgbClr val="FFFFCC"/>
        </a:solidFill>
        <a:ln w="9525" cap="flat" cmpd="sng" algn="ctr">
          <a:solidFill>
            <a:schemeClr val="accent1"/>
          </a:solidFill>
          <a:prstDash val="solid"/>
          <a:round/>
          <a:headEnd type="none" w="med" len="med"/>
          <a:tailEnd type="none" w="med" len="med"/>
        </a:ln>
        <a:effectLst/>
        <a:ex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Info</a:t>
          </a:r>
        </a:p>
      </xdr:txBody>
    </xdr:sp>
    <xdr:clientData fPrintsWithSheet="0"/>
  </xdr:oneCellAnchor>
  <xdr:oneCellAnchor>
    <xdr:from>
      <xdr:col>6</xdr:col>
      <xdr:colOff>205740</xdr:colOff>
      <xdr:row>5</xdr:row>
      <xdr:rowOff>133350</xdr:rowOff>
    </xdr:from>
    <xdr:ext cx="670560" cy="198120"/>
    <xdr:sp macro="[0]!Hide_Shape" textlink="">
      <xdr:nvSpPr>
        <xdr:cNvPr id="11" name="ControlTipText_Home" hidden="1">
          <a:extLst>
            <a:ext uri="{FF2B5EF4-FFF2-40B4-BE49-F238E27FC236}">
              <a16:creationId xmlns:a16="http://schemas.microsoft.com/office/drawing/2014/main" id="{00000000-0008-0000-0200-00000B000000}"/>
            </a:ext>
          </a:extLst>
        </xdr:cNvPr>
        <xdr:cNvSpPr/>
      </xdr:nvSpPr>
      <xdr:spPr bwMode="auto">
        <a:xfrm>
          <a:off x="5977890" y="619125"/>
          <a:ext cx="670560" cy="198120"/>
        </a:xfrm>
        <a:prstGeom prst="rect">
          <a:avLst/>
        </a:prstGeom>
        <a:solidFill>
          <a:srgbClr val="FFFFCC"/>
        </a:solidFill>
        <a:ln w="9525" cap="flat" cmpd="sng" algn="ctr">
          <a:solidFill>
            <a:schemeClr val="accent1"/>
          </a:solidFill>
          <a:prstDash val="solid"/>
          <a:round/>
          <a:headEnd type="none" w="med" len="med"/>
          <a:tailEnd type="none" w="med" len="med"/>
        </a:ln>
        <a:effectLst/>
        <a:ex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Startseite</a:t>
          </a:r>
        </a:p>
      </xdr:txBody>
    </xdr:sp>
    <xdr:clientData fPrintsWithSheet="0"/>
  </xdr:oneCellAnchor>
  <mc:AlternateContent xmlns:mc="http://schemas.openxmlformats.org/markup-compatibility/2006">
    <mc:Choice xmlns:a14="http://schemas.microsoft.com/office/drawing/2010/main" Requires="a14">
      <xdr:twoCellAnchor editAs="oneCell">
        <xdr:from>
          <xdr:col>7</xdr:col>
          <xdr:colOff>733425</xdr:colOff>
          <xdr:row>37</xdr:row>
          <xdr:rowOff>190500</xdr:rowOff>
        </xdr:from>
        <xdr:to>
          <xdr:col>7</xdr:col>
          <xdr:colOff>981075</xdr:colOff>
          <xdr:row>37</xdr:row>
          <xdr:rowOff>438150</xdr:rowOff>
        </xdr:to>
        <xdr:sp macro="" textlink="">
          <xdr:nvSpPr>
            <xdr:cNvPr id="8213" name="cmdResetDefaults" hidden="1">
              <a:extLst>
                <a:ext uri="{63B3BB69-23CF-44E3-9099-C40C66FF867C}">
                  <a14:compatExt spid="_x0000_s8213"/>
                </a:ext>
                <a:ext uri="{FF2B5EF4-FFF2-40B4-BE49-F238E27FC236}">
                  <a16:creationId xmlns:a16="http://schemas.microsoft.com/office/drawing/2014/main" id="{00000000-0008-0000-0200-00001520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123825</xdr:colOff>
          <xdr:row>8</xdr:row>
          <xdr:rowOff>76200</xdr:rowOff>
        </xdr:from>
        <xdr:to>
          <xdr:col>5</xdr:col>
          <xdr:colOff>38100</xdr:colOff>
          <xdr:row>8</xdr:row>
          <xdr:rowOff>323850</xdr:rowOff>
        </xdr:to>
        <xdr:sp macro="" textlink="">
          <xdr:nvSpPr>
            <xdr:cNvPr id="7170" name="cmdNeuerEintragPV"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xdr:row>
          <xdr:rowOff>57150</xdr:rowOff>
        </xdr:from>
        <xdr:to>
          <xdr:col>19</xdr:col>
          <xdr:colOff>219075</xdr:colOff>
          <xdr:row>5</xdr:row>
          <xdr:rowOff>114300</xdr:rowOff>
        </xdr:to>
        <xdr:sp macro="" textlink="">
          <xdr:nvSpPr>
            <xdr:cNvPr id="7169" name="cmdSichern"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781050</xdr:colOff>
          <xdr:row>4</xdr:row>
          <xdr:rowOff>57150</xdr:rowOff>
        </xdr:from>
        <xdr:to>
          <xdr:col>3</xdr:col>
          <xdr:colOff>161925</xdr:colOff>
          <xdr:row>5</xdr:row>
          <xdr:rowOff>114300</xdr:rowOff>
        </xdr:to>
        <xdr:sp macro="" textlink="">
          <xdr:nvSpPr>
            <xdr:cNvPr id="7171" name="cmdInfo"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676275</xdr:colOff>
          <xdr:row>4</xdr:row>
          <xdr:rowOff>57150</xdr:rowOff>
        </xdr:from>
        <xdr:to>
          <xdr:col>3</xdr:col>
          <xdr:colOff>923925</xdr:colOff>
          <xdr:row>5</xdr:row>
          <xdr:rowOff>114300</xdr:rowOff>
        </xdr:to>
        <xdr:sp macro="" textlink="">
          <xdr:nvSpPr>
            <xdr:cNvPr id="7172" name="cmdBerechnung"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400050</xdr:colOff>
          <xdr:row>4</xdr:row>
          <xdr:rowOff>57150</xdr:rowOff>
        </xdr:from>
        <xdr:to>
          <xdr:col>2</xdr:col>
          <xdr:colOff>647700</xdr:colOff>
          <xdr:row>5</xdr:row>
          <xdr:rowOff>114300</xdr:rowOff>
        </xdr:to>
        <xdr:sp macro="" textlink="">
          <xdr:nvSpPr>
            <xdr:cNvPr id="7173" name="cmdHome" hidden="1">
              <a:extLst>
                <a:ext uri="{63B3BB69-23CF-44E3-9099-C40C66FF867C}">
                  <a14:compatExt spid="_x0000_s7173"/>
                </a:ext>
                <a:ext uri="{FF2B5EF4-FFF2-40B4-BE49-F238E27FC236}">
                  <a16:creationId xmlns:a16="http://schemas.microsoft.com/office/drawing/2014/main" id="{00000000-0008-0000-0300-000005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295275</xdr:colOff>
          <xdr:row>4</xdr:row>
          <xdr:rowOff>57150</xdr:rowOff>
        </xdr:from>
        <xdr:to>
          <xdr:col>3</xdr:col>
          <xdr:colOff>542925</xdr:colOff>
          <xdr:row>5</xdr:row>
          <xdr:rowOff>114300</xdr:rowOff>
        </xdr:to>
        <xdr:sp macro="" textlink="">
          <xdr:nvSpPr>
            <xdr:cNvPr id="7175" name="cmdGrunddaten" hidden="1">
              <a:extLst>
                <a:ext uri="{63B3BB69-23CF-44E3-9099-C40C66FF867C}">
                  <a14:compatExt spid="_x0000_s7175"/>
                </a:ext>
                <a:ext uri="{FF2B5EF4-FFF2-40B4-BE49-F238E27FC236}">
                  <a16:creationId xmlns:a16="http://schemas.microsoft.com/office/drawing/2014/main" id="{00000000-0008-0000-0300-000007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1057275</xdr:colOff>
          <xdr:row>4</xdr:row>
          <xdr:rowOff>57150</xdr:rowOff>
        </xdr:from>
        <xdr:to>
          <xdr:col>4</xdr:col>
          <xdr:colOff>190500</xdr:colOff>
          <xdr:row>5</xdr:row>
          <xdr:rowOff>114300</xdr:rowOff>
        </xdr:to>
        <xdr:sp macro="" textlink="">
          <xdr:nvSpPr>
            <xdr:cNvPr id="7177" name="cmdDatenpflege" hidden="1">
              <a:extLst>
                <a:ext uri="{63B3BB69-23CF-44E3-9099-C40C66FF867C}">
                  <a14:compatExt spid="_x0000_s7177"/>
                </a:ext>
                <a:ext uri="{FF2B5EF4-FFF2-40B4-BE49-F238E27FC236}">
                  <a16:creationId xmlns:a16="http://schemas.microsoft.com/office/drawing/2014/main" id="{00000000-0008-0000-0300-0000091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oneCellAnchor>
    <xdr:from>
      <xdr:col>8</xdr:col>
      <xdr:colOff>185738</xdr:colOff>
      <xdr:row>5</xdr:row>
      <xdr:rowOff>142875</xdr:rowOff>
    </xdr:from>
    <xdr:ext cx="723900" cy="198120"/>
    <xdr:sp macro="[0]!Hide_Shape" textlink="">
      <xdr:nvSpPr>
        <xdr:cNvPr id="10" name="ControlTipText_Berechnung" hidden="1">
          <a:extLst>
            <a:ext uri="{FF2B5EF4-FFF2-40B4-BE49-F238E27FC236}">
              <a16:creationId xmlns:a16="http://schemas.microsoft.com/office/drawing/2014/main" id="{00000000-0008-0000-0300-00000A000000}"/>
            </a:ext>
          </a:extLst>
        </xdr:cNvPr>
        <xdr:cNvSpPr/>
      </xdr:nvSpPr>
      <xdr:spPr bwMode="auto">
        <a:xfrm>
          <a:off x="7243763" y="952500"/>
          <a:ext cx="723900" cy="198120"/>
        </a:xfrm>
        <a:prstGeom prst="rect">
          <a:avLst/>
        </a:prstGeom>
        <a:solidFill>
          <a:srgbClr val="FFFFCC"/>
        </a:solidFill>
        <a:ln w="9525" cap="flat" cmpd="sng" algn="ctr">
          <a:solidFill>
            <a:schemeClr val="accent1"/>
          </a:solidFill>
          <a:prstDash val="solid"/>
          <a:round/>
          <a:headEnd type="none" w="med" len="med"/>
          <a:tailEnd type="none" w="med" len="med"/>
        </a:ln>
        <a:effectLst/>
        <a:ex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Berechnung</a:t>
          </a:r>
        </a:p>
      </xdr:txBody>
    </xdr:sp>
    <xdr:clientData fPrintsWithSheet="0"/>
  </xdr:oneCellAnchor>
  <xdr:oneCellAnchor>
    <xdr:from>
      <xdr:col>3</xdr:col>
      <xdr:colOff>0</xdr:colOff>
      <xdr:row>5</xdr:row>
      <xdr:rowOff>133350</xdr:rowOff>
    </xdr:from>
    <xdr:ext cx="723900" cy="198120"/>
    <xdr:sp macro="[0]!Hide_Shape" textlink="">
      <xdr:nvSpPr>
        <xdr:cNvPr id="9" name="ControlTipText_Grunddaten" hidden="1">
          <a:extLst>
            <a:ext uri="{FF2B5EF4-FFF2-40B4-BE49-F238E27FC236}">
              <a16:creationId xmlns:a16="http://schemas.microsoft.com/office/drawing/2014/main" id="{00000000-0008-0000-0300-000009000000}"/>
            </a:ext>
          </a:extLst>
        </xdr:cNvPr>
        <xdr:cNvSpPr/>
      </xdr:nvSpPr>
      <xdr:spPr bwMode="auto">
        <a:xfrm>
          <a:off x="2124075" y="619125"/>
          <a:ext cx="723900" cy="198120"/>
        </a:xfrm>
        <a:prstGeom prst="rect">
          <a:avLst/>
        </a:prstGeom>
        <a:solidFill>
          <a:srgbClr val="FFFFCC"/>
        </a:solidFill>
        <a:ln w="9525" cap="flat" cmpd="sng" algn="ctr">
          <a:solidFill>
            <a:schemeClr val="accent1"/>
          </a:solidFill>
          <a:prstDash val="solid"/>
          <a:round/>
          <a:headEnd type="none" w="med" len="med"/>
          <a:tailEnd type="none" w="med" len="med"/>
        </a:ln>
        <a:effectLst/>
        <a:extLst/>
      </xdr:spPr>
      <xdr:txBody>
        <a:bodyPr vertOverflow="clip" horzOverflow="clip" vert="horz" wrap="square" lIns="0" tIns="0" rIns="0" bIns="0" numCol="1" rtlCol="0" anchor="ctr" anchorCtr="0" compatLnSpc="1">
          <a:prstTxWarp prst="textNoShape">
            <a:avLst/>
          </a:prstTxWarp>
          <a:noAutofit/>
        </a:bodyPr>
        <a:lstStyle/>
        <a:p>
          <a:pPr marL="0" marR="0" indent="0" algn="ctr" defTabSz="914400" rtl="0" eaLnBrk="1" fontAlgn="base" latinLnBrk="0" hangingPunct="1">
            <a:lnSpc>
              <a:spcPct val="100000"/>
            </a:lnSpc>
            <a:spcBef>
              <a:spcPct val="50000"/>
            </a:spcBef>
            <a:spcAft>
              <a:spcPct val="0"/>
            </a:spcAft>
            <a:buClrTx/>
            <a:buSzTx/>
            <a:buFontTx/>
            <a:buNone/>
            <a:tabLst/>
          </a:pPr>
          <a:r>
            <a:rPr kumimoji="0" lang="de-DE" sz="900" b="0" i="0" u="none" strike="noStrike" cap="none" normalizeH="0" baseline="0">
              <a:ln>
                <a:noFill/>
              </a:ln>
              <a:solidFill>
                <a:schemeClr val="tx1"/>
              </a:solidFill>
              <a:effectLst/>
              <a:latin typeface="Arial" charset="0"/>
            </a:rPr>
            <a:t>Grunddaten</a:t>
          </a:r>
        </a:p>
      </xdr:txBody>
    </xdr:sp>
    <xdr:clientData fPrintsWithSheet="0"/>
  </xdr:oneCellAnchor>
</xdr:wsDr>
</file>

<file path=xl/theme/theme1.xml><?xml version="1.0" encoding="utf-8"?>
<a:theme xmlns:a="http://schemas.openxmlformats.org/drawingml/2006/main" name="ILB">
  <a:themeElements>
    <a:clrScheme name="© ILB">
      <a:dk1>
        <a:srgbClr val="000000"/>
      </a:dk1>
      <a:lt1>
        <a:srgbClr val="FFFFFF"/>
      </a:lt1>
      <a:dk2>
        <a:srgbClr val="5F5F5F"/>
      </a:dk2>
      <a:lt2>
        <a:srgbClr val="BE0F34"/>
      </a:lt2>
      <a:accent1>
        <a:srgbClr val="808080"/>
      </a:accent1>
      <a:accent2>
        <a:srgbClr val="DDDDDD"/>
      </a:accent2>
      <a:accent3>
        <a:srgbClr val="BE0F34"/>
      </a:accent3>
      <a:accent4>
        <a:srgbClr val="007FB0"/>
      </a:accent4>
      <a:accent5>
        <a:srgbClr val="DFA827"/>
      </a:accent5>
      <a:accent6>
        <a:srgbClr val="C26C23"/>
      </a:accent6>
      <a:hlink>
        <a:srgbClr val="007FB0"/>
      </a:hlink>
      <a:folHlink>
        <a:srgbClr val="BE0F34"/>
      </a:folHlink>
    </a:clrScheme>
    <a:fontScheme name="© ILB">
      <a:majorFont>
        <a:latin typeface="Arial"/>
        <a:ea typeface=""/>
        <a:cs typeface=""/>
      </a:majorFont>
      <a:minorFont>
        <a:latin typeface="Arial"/>
        <a:ea typeface=""/>
        <a:cs typeface=""/>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chemeClr val="accent2"/>
        </a:solidFill>
        <a:ln w="9525" cap="flat" cmpd="sng" algn="ctr">
          <a:noFill/>
          <a:prstDash val="solid"/>
          <a:round/>
          <a:headEnd type="none" w="med" len="med"/>
          <a:tailEnd type="none" w="med" len="med"/>
        </a:ln>
        <a:effectLst/>
        <a:extLst/>
      </a:spPr>
      <a:bodyPr vert="horz" wrap="square" lIns="0" tIns="0" rIns="0" bIns="0" numCol="1" rtlCol="0" anchor="t" anchorCtr="0" compatLnSpc="1">
        <a:prstTxWarp prst="textNoShape">
          <a:avLst/>
        </a:prstTxWarp>
      </a:bodyPr>
      <a:lstStyle>
        <a:defPPr marL="0" marR="0" indent="0" algn="l" defTabSz="914400" rtl="0" eaLnBrk="1" fontAlgn="base" latinLnBrk="0" hangingPunct="1">
          <a:lnSpc>
            <a:spcPct val="100000"/>
          </a:lnSpc>
          <a:spcBef>
            <a:spcPct val="50000"/>
          </a:spcBef>
          <a:spcAft>
            <a:spcPct val="0"/>
          </a:spcAft>
          <a:buClrTx/>
          <a:buSzTx/>
          <a:buFontTx/>
          <a:buNone/>
          <a:tabLst/>
          <a:defRPr kumimoji="0" sz="1600" b="0" i="0" u="none" strike="noStrike" cap="none" normalizeH="0" baseline="0" smtClean="0">
            <a:ln>
              <a:noFill/>
            </a:ln>
            <a:solidFill>
              <a:schemeClr val="tx1"/>
            </a:solidFill>
            <a:effectLst/>
            <a:latin typeface="Arial" charset="0"/>
          </a:defRPr>
        </a:defPPr>
      </a:lstStyle>
    </a:spDef>
    <a:lnDef>
      <a:spPr bwMode="auto">
        <a:solidFill>
          <a:schemeClr val="accent1"/>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chemeClr val="bg2"/>
                </a:outerShdw>
              </a:effectLst>
            </a14:hiddenEffects>
          </a:ext>
        </a:extLst>
      </a:spPr>
      <a:bodyPr/>
      <a:lstStyle/>
    </a:lnDef>
    <a:txDef>
      <a:spPr>
        <a:noFill/>
      </a:spPr>
      <a:bodyPr wrap="square" lIns="0" tIns="0" rIns="0" bIns="0" rtlCol="0">
        <a:spAutoFit/>
      </a:bodyPr>
      <a:lstStyle>
        <a:defPPr>
          <a:defRPr dirty="0" err="1" smtClean="0"/>
        </a:defPPr>
      </a:lstStyle>
    </a:txDef>
  </a:objectDefaults>
  <a:extraClrSchemeLst>
    <a:extraClrScheme>
      <a:clrScheme name="Standarddesign 1">
        <a:dk1>
          <a:srgbClr val="000000"/>
        </a:dk1>
        <a:lt1>
          <a:srgbClr val="FFFFFF"/>
        </a:lt1>
        <a:dk2>
          <a:srgbClr val="5F5F5F"/>
        </a:dk2>
        <a:lt2>
          <a:srgbClr val="BE0F34"/>
        </a:lt2>
        <a:accent1>
          <a:srgbClr val="808080"/>
        </a:accent1>
        <a:accent2>
          <a:srgbClr val="DDDDDD"/>
        </a:accent2>
        <a:accent3>
          <a:srgbClr val="FFFFFF"/>
        </a:accent3>
        <a:accent4>
          <a:srgbClr val="000000"/>
        </a:accent4>
        <a:accent5>
          <a:srgbClr val="C0C0C0"/>
        </a:accent5>
        <a:accent6>
          <a:srgbClr val="C8C8C8"/>
        </a:accent6>
        <a:hlink>
          <a:srgbClr val="007FB0"/>
        </a:hlink>
        <a:folHlink>
          <a:srgbClr val="BE0F34"/>
        </a:folHlink>
      </a:clrScheme>
      <a:clrMap bg1="lt1" tx1="dk1" bg2="lt2" tx2="dk2" accent1="accent1" accent2="accent2" accent3="accent3" accent4="accent4" accent5="accent5" accent6="accent6" hlink="hlink" folHlink="folHlink"/>
    </a:extraClrScheme>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13" Type="http://schemas.openxmlformats.org/officeDocument/2006/relationships/control" Target="../activeX/activeX5.xml"/><Relationship Id="rId18" Type="http://schemas.openxmlformats.org/officeDocument/2006/relationships/image" Target="../media/image7.emf"/><Relationship Id="rId26" Type="http://schemas.openxmlformats.org/officeDocument/2006/relationships/control" Target="../activeX/activeX13.xml"/><Relationship Id="rId3" Type="http://schemas.openxmlformats.org/officeDocument/2006/relationships/drawing" Target="../drawings/drawing1.xml"/><Relationship Id="rId21" Type="http://schemas.openxmlformats.org/officeDocument/2006/relationships/control" Target="../activeX/activeX9.xml"/><Relationship Id="rId7" Type="http://schemas.openxmlformats.org/officeDocument/2006/relationships/control" Target="../activeX/activeX2.xml"/><Relationship Id="rId12" Type="http://schemas.openxmlformats.org/officeDocument/2006/relationships/image" Target="../media/image4.emf"/><Relationship Id="rId17" Type="http://schemas.openxmlformats.org/officeDocument/2006/relationships/control" Target="../activeX/activeX7.xml"/><Relationship Id="rId25" Type="http://schemas.openxmlformats.org/officeDocument/2006/relationships/control" Target="../activeX/activeX12.xml"/><Relationship Id="rId2" Type="http://schemas.openxmlformats.org/officeDocument/2006/relationships/customProperty" Target="../customProperty1.bin"/><Relationship Id="rId16" Type="http://schemas.openxmlformats.org/officeDocument/2006/relationships/image" Target="../media/image6.emf"/><Relationship Id="rId20" Type="http://schemas.openxmlformats.org/officeDocument/2006/relationships/image" Target="../media/image8.emf"/><Relationship Id="rId1" Type="http://schemas.openxmlformats.org/officeDocument/2006/relationships/printerSettings" Target="../printerSettings/printerSettings1.bin"/><Relationship Id="rId6" Type="http://schemas.openxmlformats.org/officeDocument/2006/relationships/image" Target="../media/image1.emf"/><Relationship Id="rId11" Type="http://schemas.openxmlformats.org/officeDocument/2006/relationships/control" Target="../activeX/activeX4.xml"/><Relationship Id="rId24" Type="http://schemas.openxmlformats.org/officeDocument/2006/relationships/control" Target="../activeX/activeX11.xml"/><Relationship Id="rId5" Type="http://schemas.openxmlformats.org/officeDocument/2006/relationships/control" Target="../activeX/activeX1.xml"/><Relationship Id="rId15" Type="http://schemas.openxmlformats.org/officeDocument/2006/relationships/control" Target="../activeX/activeX6.xml"/><Relationship Id="rId23" Type="http://schemas.openxmlformats.org/officeDocument/2006/relationships/image" Target="../media/image9.emf"/><Relationship Id="rId28" Type="http://schemas.openxmlformats.org/officeDocument/2006/relationships/ctrlProp" Target="../ctrlProps/ctrlProp1.xml"/><Relationship Id="rId10" Type="http://schemas.openxmlformats.org/officeDocument/2006/relationships/image" Target="../media/image3.emf"/><Relationship Id="rId19" Type="http://schemas.openxmlformats.org/officeDocument/2006/relationships/control" Target="../activeX/activeX8.xml"/><Relationship Id="rId4" Type="http://schemas.openxmlformats.org/officeDocument/2006/relationships/vmlDrawing" Target="../drawings/vmlDrawing1.vml"/><Relationship Id="rId9" Type="http://schemas.openxmlformats.org/officeDocument/2006/relationships/control" Target="../activeX/activeX3.xml"/><Relationship Id="rId14" Type="http://schemas.openxmlformats.org/officeDocument/2006/relationships/image" Target="../media/image5.emf"/><Relationship Id="rId22" Type="http://schemas.openxmlformats.org/officeDocument/2006/relationships/control" Target="../activeX/activeX10.xml"/><Relationship Id="rId27" Type="http://schemas.openxmlformats.org/officeDocument/2006/relationships/image" Target="../media/image10.emf"/></Relationships>
</file>

<file path=xl/worksheets/_rels/sheet2.xml.rels><?xml version="1.0" encoding="UTF-8" standalone="yes"?>
<Relationships xmlns="http://schemas.openxmlformats.org/package/2006/relationships"><Relationship Id="rId8" Type="http://schemas.openxmlformats.org/officeDocument/2006/relationships/image" Target="../media/image3.emf"/><Relationship Id="rId13" Type="http://schemas.openxmlformats.org/officeDocument/2006/relationships/control" Target="../activeX/activeX18.xml"/><Relationship Id="rId18" Type="http://schemas.openxmlformats.org/officeDocument/2006/relationships/image" Target="../media/image7.emf"/><Relationship Id="rId26" Type="http://schemas.openxmlformats.org/officeDocument/2006/relationships/ctrlProp" Target="../ctrlProps/ctrlProp5.xml"/><Relationship Id="rId3" Type="http://schemas.openxmlformats.org/officeDocument/2006/relationships/drawing" Target="../drawings/drawing2.xml"/><Relationship Id="rId21" Type="http://schemas.openxmlformats.org/officeDocument/2006/relationships/control" Target="../activeX/activeX22.xml"/><Relationship Id="rId7" Type="http://schemas.openxmlformats.org/officeDocument/2006/relationships/control" Target="../activeX/activeX15.xml"/><Relationship Id="rId12" Type="http://schemas.openxmlformats.org/officeDocument/2006/relationships/image" Target="../media/image6.emf"/><Relationship Id="rId17" Type="http://schemas.openxmlformats.org/officeDocument/2006/relationships/control" Target="../activeX/activeX20.xml"/><Relationship Id="rId25" Type="http://schemas.openxmlformats.org/officeDocument/2006/relationships/ctrlProp" Target="../ctrlProps/ctrlProp4.xml"/><Relationship Id="rId2" Type="http://schemas.openxmlformats.org/officeDocument/2006/relationships/customProperty" Target="../customProperty2.bin"/><Relationship Id="rId16" Type="http://schemas.openxmlformats.org/officeDocument/2006/relationships/image" Target="../media/image8.emf"/><Relationship Id="rId20" Type="http://schemas.openxmlformats.org/officeDocument/2006/relationships/image" Target="../media/image4.emf"/><Relationship Id="rId29" Type="http://schemas.openxmlformats.org/officeDocument/2006/relationships/ctrlProp" Target="../ctrlProps/ctrlProp8.xml"/><Relationship Id="rId1" Type="http://schemas.openxmlformats.org/officeDocument/2006/relationships/printerSettings" Target="../printerSettings/printerSettings2.bin"/><Relationship Id="rId6" Type="http://schemas.openxmlformats.org/officeDocument/2006/relationships/image" Target="../media/image5.emf"/><Relationship Id="rId11" Type="http://schemas.openxmlformats.org/officeDocument/2006/relationships/control" Target="../activeX/activeX17.xml"/><Relationship Id="rId24" Type="http://schemas.openxmlformats.org/officeDocument/2006/relationships/ctrlProp" Target="../ctrlProps/ctrlProp3.xml"/><Relationship Id="rId5" Type="http://schemas.openxmlformats.org/officeDocument/2006/relationships/control" Target="../activeX/activeX14.xml"/><Relationship Id="rId15" Type="http://schemas.openxmlformats.org/officeDocument/2006/relationships/control" Target="../activeX/activeX19.xml"/><Relationship Id="rId23" Type="http://schemas.openxmlformats.org/officeDocument/2006/relationships/ctrlProp" Target="../ctrlProps/ctrlProp2.xml"/><Relationship Id="rId28" Type="http://schemas.openxmlformats.org/officeDocument/2006/relationships/ctrlProp" Target="../ctrlProps/ctrlProp7.xml"/><Relationship Id="rId10" Type="http://schemas.openxmlformats.org/officeDocument/2006/relationships/image" Target="../media/image2.emf"/><Relationship Id="rId19" Type="http://schemas.openxmlformats.org/officeDocument/2006/relationships/control" Target="../activeX/activeX21.xml"/><Relationship Id="rId4" Type="http://schemas.openxmlformats.org/officeDocument/2006/relationships/vmlDrawing" Target="../drawings/vmlDrawing2.vml"/><Relationship Id="rId9" Type="http://schemas.openxmlformats.org/officeDocument/2006/relationships/control" Target="../activeX/activeX16.xml"/><Relationship Id="rId14" Type="http://schemas.openxmlformats.org/officeDocument/2006/relationships/image" Target="../media/image1.emf"/><Relationship Id="rId22" Type="http://schemas.openxmlformats.org/officeDocument/2006/relationships/image" Target="../media/image10.emf"/><Relationship Id="rId27" Type="http://schemas.openxmlformats.org/officeDocument/2006/relationships/ctrlProp" Target="../ctrlProps/ctrlProp6.xml"/><Relationship Id="rId30" Type="http://schemas.openxmlformats.org/officeDocument/2006/relationships/comments" Target="../comments1.xml"/></Relationships>
</file>

<file path=xl/worksheets/_rels/sheet3.xml.rels><?xml version="1.0" encoding="UTF-8" standalone="yes"?>
<Relationships xmlns="http://schemas.openxmlformats.org/package/2006/relationships"><Relationship Id="rId8" Type="http://schemas.openxmlformats.org/officeDocument/2006/relationships/image" Target="../media/image16.emf"/><Relationship Id="rId13" Type="http://schemas.openxmlformats.org/officeDocument/2006/relationships/control" Target="../activeX/activeX27.xml"/><Relationship Id="rId18" Type="http://schemas.openxmlformats.org/officeDocument/2006/relationships/image" Target="../media/image17.emf"/><Relationship Id="rId3" Type="http://schemas.openxmlformats.org/officeDocument/2006/relationships/drawing" Target="../drawings/drawing3.xml"/><Relationship Id="rId21" Type="http://schemas.openxmlformats.org/officeDocument/2006/relationships/control" Target="../activeX/activeX31.xml"/><Relationship Id="rId7" Type="http://schemas.openxmlformats.org/officeDocument/2006/relationships/control" Target="../activeX/activeX24.xml"/><Relationship Id="rId12" Type="http://schemas.openxmlformats.org/officeDocument/2006/relationships/image" Target="../media/image9.emf"/><Relationship Id="rId17" Type="http://schemas.openxmlformats.org/officeDocument/2006/relationships/control" Target="../activeX/activeX29.xml"/><Relationship Id="rId25" Type="http://schemas.openxmlformats.org/officeDocument/2006/relationships/comments" Target="../comments2.xml"/><Relationship Id="rId2" Type="http://schemas.openxmlformats.org/officeDocument/2006/relationships/customProperty" Target="../customProperty3.bin"/><Relationship Id="rId16" Type="http://schemas.openxmlformats.org/officeDocument/2006/relationships/image" Target="../media/image7.emf"/><Relationship Id="rId20" Type="http://schemas.openxmlformats.org/officeDocument/2006/relationships/image" Target="../media/image18.emf"/><Relationship Id="rId1" Type="http://schemas.openxmlformats.org/officeDocument/2006/relationships/printerSettings" Target="../printerSettings/printerSettings3.bin"/><Relationship Id="rId6" Type="http://schemas.openxmlformats.org/officeDocument/2006/relationships/image" Target="../media/image4.emf"/><Relationship Id="rId11" Type="http://schemas.openxmlformats.org/officeDocument/2006/relationships/control" Target="../activeX/activeX26.xml"/><Relationship Id="rId24" Type="http://schemas.openxmlformats.org/officeDocument/2006/relationships/image" Target="../media/image20.emf"/><Relationship Id="rId5" Type="http://schemas.openxmlformats.org/officeDocument/2006/relationships/control" Target="../activeX/activeX23.xml"/><Relationship Id="rId15" Type="http://schemas.openxmlformats.org/officeDocument/2006/relationships/control" Target="../activeX/activeX28.xml"/><Relationship Id="rId23" Type="http://schemas.openxmlformats.org/officeDocument/2006/relationships/control" Target="../activeX/activeX32.xml"/><Relationship Id="rId10" Type="http://schemas.openxmlformats.org/officeDocument/2006/relationships/image" Target="../media/image6.emf"/><Relationship Id="rId19" Type="http://schemas.openxmlformats.org/officeDocument/2006/relationships/control" Target="../activeX/activeX30.xml"/><Relationship Id="rId4" Type="http://schemas.openxmlformats.org/officeDocument/2006/relationships/vmlDrawing" Target="../drawings/vmlDrawing3.vml"/><Relationship Id="rId9" Type="http://schemas.openxmlformats.org/officeDocument/2006/relationships/control" Target="../activeX/activeX25.xml"/><Relationship Id="rId14" Type="http://schemas.openxmlformats.org/officeDocument/2006/relationships/image" Target="../media/image8.emf"/><Relationship Id="rId22" Type="http://schemas.openxmlformats.org/officeDocument/2006/relationships/image" Target="../media/image19.emf"/></Relationships>
</file>

<file path=xl/worksheets/_rels/sheet4.xml.rels><?xml version="1.0" encoding="UTF-8" standalone="yes"?>
<Relationships xmlns="http://schemas.openxmlformats.org/package/2006/relationships"><Relationship Id="rId8" Type="http://schemas.openxmlformats.org/officeDocument/2006/relationships/image" Target="../media/image1.emf"/><Relationship Id="rId13" Type="http://schemas.openxmlformats.org/officeDocument/2006/relationships/control" Target="../activeX/activeX37.xml"/><Relationship Id="rId18" Type="http://schemas.openxmlformats.org/officeDocument/2006/relationships/image" Target="../media/image22.emf"/><Relationship Id="rId3" Type="http://schemas.openxmlformats.org/officeDocument/2006/relationships/drawing" Target="../drawings/drawing4.xml"/><Relationship Id="rId7" Type="http://schemas.openxmlformats.org/officeDocument/2006/relationships/control" Target="../activeX/activeX34.xml"/><Relationship Id="rId12" Type="http://schemas.openxmlformats.org/officeDocument/2006/relationships/image" Target="../media/image9.emf"/><Relationship Id="rId17" Type="http://schemas.openxmlformats.org/officeDocument/2006/relationships/control" Target="../activeX/activeX39.xml"/><Relationship Id="rId2" Type="http://schemas.openxmlformats.org/officeDocument/2006/relationships/customProperty" Target="../customProperty4.bin"/><Relationship Id="rId16" Type="http://schemas.openxmlformats.org/officeDocument/2006/relationships/image" Target="../media/image21.emf"/><Relationship Id="rId1" Type="http://schemas.openxmlformats.org/officeDocument/2006/relationships/printerSettings" Target="../printerSettings/printerSettings4.bin"/><Relationship Id="rId6" Type="http://schemas.openxmlformats.org/officeDocument/2006/relationships/image" Target="../media/image16.emf"/><Relationship Id="rId11" Type="http://schemas.openxmlformats.org/officeDocument/2006/relationships/control" Target="../activeX/activeX36.xml"/><Relationship Id="rId5" Type="http://schemas.openxmlformats.org/officeDocument/2006/relationships/control" Target="../activeX/activeX33.xml"/><Relationship Id="rId15" Type="http://schemas.openxmlformats.org/officeDocument/2006/relationships/control" Target="../activeX/activeX38.xml"/><Relationship Id="rId10" Type="http://schemas.openxmlformats.org/officeDocument/2006/relationships/image" Target="../media/image7.emf"/><Relationship Id="rId4" Type="http://schemas.openxmlformats.org/officeDocument/2006/relationships/vmlDrawing" Target="../drawings/vmlDrawing4.vml"/><Relationship Id="rId9" Type="http://schemas.openxmlformats.org/officeDocument/2006/relationships/control" Target="../activeX/activeX35.xml"/><Relationship Id="rId14" Type="http://schemas.openxmlformats.org/officeDocument/2006/relationships/image" Target="../media/image6.emf"/></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customProperty" Target="../customProperty5.bin"/><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2" Type="http://schemas.openxmlformats.org/officeDocument/2006/relationships/customProperty" Target="../customProperty6.bin"/><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customProperty" Target="../customProperty7.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01">
    <pageSetUpPr fitToPage="1"/>
  </sheetPr>
  <dimension ref="A1:Z64"/>
  <sheetViews>
    <sheetView showGridLines="0" showRowColHeaders="0" zoomScaleNormal="100" workbookViewId="0">
      <pane ySplit="7" topLeftCell="A23" activePane="bottomLeft" state="frozen"/>
      <selection pane="bottomLeft" activeCell="A4" sqref="A4"/>
    </sheetView>
  </sheetViews>
  <sheetFormatPr baseColWidth="10" defaultColWidth="11.25" defaultRowHeight="14.25" x14ac:dyDescent="0.2"/>
  <cols>
    <col min="1" max="1" width="4.625" style="21" customWidth="1"/>
    <col min="2" max="3" width="2.75" style="21" customWidth="1"/>
    <col min="4" max="4" width="3.625" style="21" customWidth="1"/>
    <col min="5" max="21" width="5.625" style="21" customWidth="1"/>
    <col min="22" max="23" width="2.75" style="21" customWidth="1"/>
    <col min="24" max="24" width="4.625" style="11" customWidth="1"/>
    <col min="25" max="26" width="11.25" style="11" hidden="1" customWidth="1"/>
    <col min="27" max="33" width="11.25" style="11" customWidth="1"/>
    <col min="34" max="16384" width="11.25" style="11"/>
  </cols>
  <sheetData>
    <row r="1" spans="1:25" s="13" customFormat="1" ht="14.1" hidden="1" customHeight="1" x14ac:dyDescent="0.2">
      <c r="A1" s="64"/>
      <c r="B1" s="498" t="s">
        <v>80</v>
      </c>
      <c r="C1" s="498" t="s">
        <v>80</v>
      </c>
      <c r="D1" s="498" t="s">
        <v>80</v>
      </c>
      <c r="E1" s="498" t="s">
        <v>80</v>
      </c>
      <c r="F1" s="498" t="s">
        <v>80</v>
      </c>
      <c r="G1" s="498" t="s">
        <v>80</v>
      </c>
      <c r="H1" s="498" t="s">
        <v>80</v>
      </c>
      <c r="I1" s="498" t="s">
        <v>80</v>
      </c>
      <c r="J1" s="498" t="s">
        <v>80</v>
      </c>
      <c r="K1" s="498" t="s">
        <v>80</v>
      </c>
      <c r="L1" s="498" t="s">
        <v>80</v>
      </c>
      <c r="M1" s="498" t="s">
        <v>80</v>
      </c>
      <c r="N1" s="498" t="s">
        <v>80</v>
      </c>
      <c r="O1" s="498" t="s">
        <v>80</v>
      </c>
      <c r="P1" s="498" t="s">
        <v>80</v>
      </c>
      <c r="Q1" s="498" t="s">
        <v>80</v>
      </c>
      <c r="R1" s="498" t="s">
        <v>80</v>
      </c>
      <c r="S1" s="498" t="s">
        <v>80</v>
      </c>
      <c r="T1" s="498" t="s">
        <v>80</v>
      </c>
      <c r="U1" s="498" t="s">
        <v>80</v>
      </c>
      <c r="V1" s="498" t="s">
        <v>80</v>
      </c>
      <c r="W1" s="498" t="s">
        <v>80</v>
      </c>
      <c r="Y1" s="276" t="b">
        <v>0</v>
      </c>
    </row>
    <row r="2" spans="1:25" s="13" customFormat="1" ht="14.1" hidden="1" customHeight="1" x14ac:dyDescent="0.2">
      <c r="A2" s="64"/>
      <c r="B2" s="498" t="s">
        <v>80</v>
      </c>
      <c r="C2" s="498" t="s">
        <v>80</v>
      </c>
      <c r="D2" s="498" t="s">
        <v>80</v>
      </c>
      <c r="E2" s="498" t="s">
        <v>80</v>
      </c>
      <c r="F2" s="498" t="s">
        <v>80</v>
      </c>
      <c r="G2" s="498" t="s">
        <v>80</v>
      </c>
      <c r="H2" s="498" t="s">
        <v>80</v>
      </c>
      <c r="I2" s="498" t="s">
        <v>80</v>
      </c>
      <c r="J2" s="498" t="s">
        <v>80</v>
      </c>
      <c r="K2" s="498" t="s">
        <v>80</v>
      </c>
      <c r="L2" s="498" t="s">
        <v>80</v>
      </c>
      <c r="M2" s="498" t="s">
        <v>80</v>
      </c>
      <c r="N2" s="498" t="s">
        <v>80</v>
      </c>
      <c r="O2" s="498" t="s">
        <v>80</v>
      </c>
      <c r="P2" s="498" t="s">
        <v>80</v>
      </c>
      <c r="Q2" s="498" t="s">
        <v>80</v>
      </c>
      <c r="R2" s="498" t="s">
        <v>80</v>
      </c>
      <c r="S2" s="498" t="s">
        <v>80</v>
      </c>
      <c r="T2" s="498" t="s">
        <v>80</v>
      </c>
      <c r="U2" s="498" t="s">
        <v>80</v>
      </c>
      <c r="V2" s="498" t="s">
        <v>80</v>
      </c>
      <c r="W2" s="498" t="s">
        <v>80</v>
      </c>
      <c r="Y2" s="276" t="b">
        <v>0</v>
      </c>
    </row>
    <row r="3" spans="1:25" s="13" customFormat="1" ht="14.1" hidden="1" customHeight="1" x14ac:dyDescent="0.2">
      <c r="A3" s="64"/>
      <c r="B3" s="498" t="s">
        <v>80</v>
      </c>
      <c r="C3" s="498" t="s">
        <v>80</v>
      </c>
      <c r="D3" s="498" t="s">
        <v>80</v>
      </c>
      <c r="E3" s="498" t="s">
        <v>80</v>
      </c>
      <c r="F3" s="498" t="s">
        <v>80</v>
      </c>
      <c r="G3" s="498" t="s">
        <v>80</v>
      </c>
      <c r="H3" s="498" t="s">
        <v>80</v>
      </c>
      <c r="I3" s="498" t="s">
        <v>80</v>
      </c>
      <c r="J3" s="498" t="s">
        <v>80</v>
      </c>
      <c r="K3" s="498" t="s">
        <v>80</v>
      </c>
      <c r="L3" s="498" t="s">
        <v>80</v>
      </c>
      <c r="M3" s="498" t="s">
        <v>80</v>
      </c>
      <c r="N3" s="498" t="s">
        <v>80</v>
      </c>
      <c r="O3" s="498" t="s">
        <v>80</v>
      </c>
      <c r="P3" s="498" t="s">
        <v>80</v>
      </c>
      <c r="Q3" s="498" t="s">
        <v>80</v>
      </c>
      <c r="R3" s="498" t="s">
        <v>80</v>
      </c>
      <c r="S3" s="498" t="s">
        <v>80</v>
      </c>
      <c r="T3" s="498" t="s">
        <v>80</v>
      </c>
      <c r="U3" s="498" t="s">
        <v>80</v>
      </c>
      <c r="V3" s="498" t="s">
        <v>80</v>
      </c>
      <c r="W3" s="498" t="s">
        <v>80</v>
      </c>
      <c r="Y3" s="276" t="b">
        <v>0</v>
      </c>
    </row>
    <row r="4" spans="1:25" ht="18" customHeight="1" x14ac:dyDescent="0.2">
      <c r="Y4" s="276" t="b">
        <v>1</v>
      </c>
    </row>
    <row r="5" spans="1:25" ht="13.9" customHeight="1" x14ac:dyDescent="0.2">
      <c r="B5" s="22"/>
      <c r="C5" s="23"/>
      <c r="D5" s="23"/>
      <c r="E5" s="23"/>
      <c r="F5" s="23"/>
      <c r="G5" s="23"/>
      <c r="H5" s="23"/>
      <c r="I5" s="23"/>
      <c r="J5" s="23"/>
      <c r="K5" s="23"/>
      <c r="L5" s="23"/>
      <c r="M5" s="23"/>
      <c r="N5" s="23"/>
      <c r="O5" s="23"/>
      <c r="P5" s="23"/>
      <c r="Q5" s="23"/>
      <c r="R5" s="23"/>
      <c r="S5" s="23"/>
      <c r="T5" s="23"/>
      <c r="U5" s="23"/>
      <c r="V5" s="23"/>
      <c r="W5" s="24"/>
      <c r="Y5" s="276" t="b">
        <v>1</v>
      </c>
    </row>
    <row r="6" spans="1:25" ht="15" customHeight="1" x14ac:dyDescent="0.2">
      <c r="B6" s="25"/>
      <c r="C6" s="1075" t="str">
        <f ca="1">Programmversionen!J5</f>
        <v xml:space="preserve">Version: 24.03 </v>
      </c>
      <c r="D6" s="1076"/>
      <c r="E6" s="1076"/>
      <c r="F6" s="1076"/>
      <c r="G6" s="1077" t="str">
        <f>"Förderrechner - Mietwohnraumförderung"</f>
        <v>Förderrechner - Mietwohnraumförderung</v>
      </c>
      <c r="H6" s="1077"/>
      <c r="I6" s="1077"/>
      <c r="J6" s="1077"/>
      <c r="K6" s="1077"/>
      <c r="L6" s="1077"/>
      <c r="M6" s="1077"/>
      <c r="N6" s="1077"/>
      <c r="O6" s="1077"/>
      <c r="P6" s="1077"/>
      <c r="Q6" s="1077"/>
      <c r="R6" s="1077"/>
      <c r="S6" s="17"/>
      <c r="T6" s="17"/>
      <c r="U6" s="17"/>
      <c r="V6" s="18"/>
      <c r="W6" s="26"/>
      <c r="Y6" s="276" t="b">
        <v>1</v>
      </c>
    </row>
    <row r="7" spans="1:25" ht="15" customHeight="1" x14ac:dyDescent="0.2">
      <c r="B7" s="25"/>
      <c r="C7" s="1079">
        <f ca="1">Programmversionen!B5</f>
        <v>45322</v>
      </c>
      <c r="D7" s="1080"/>
      <c r="E7" s="1080"/>
      <c r="F7" s="1080"/>
      <c r="G7" s="1078"/>
      <c r="H7" s="1078"/>
      <c r="I7" s="1078"/>
      <c r="J7" s="1078"/>
      <c r="K7" s="1078"/>
      <c r="L7" s="1078"/>
      <c r="M7" s="1078"/>
      <c r="N7" s="1078"/>
      <c r="O7" s="1078"/>
      <c r="P7" s="1078"/>
      <c r="Q7" s="1078"/>
      <c r="R7" s="1078"/>
      <c r="S7" s="19"/>
      <c r="T7" s="19"/>
      <c r="U7" s="19"/>
      <c r="V7" s="20"/>
      <c r="W7" s="26"/>
      <c r="Y7" s="276" t="b">
        <v>1</v>
      </c>
    </row>
    <row r="8" spans="1:25" ht="14.25" customHeight="1" x14ac:dyDescent="0.2">
      <c r="B8" s="25"/>
      <c r="C8" s="534"/>
      <c r="D8" s="535"/>
      <c r="E8" s="535"/>
      <c r="F8" s="535"/>
      <c r="G8" s="535"/>
      <c r="H8" s="535"/>
      <c r="I8" s="535"/>
      <c r="J8" s="535"/>
      <c r="K8" s="535"/>
      <c r="L8" s="535"/>
      <c r="M8" s="535"/>
      <c r="N8" s="535"/>
      <c r="O8" s="535"/>
      <c r="P8" s="535"/>
      <c r="Q8" s="535"/>
      <c r="R8" s="535"/>
      <c r="S8" s="535"/>
      <c r="T8" s="535"/>
      <c r="U8" s="535"/>
      <c r="V8" s="536"/>
      <c r="W8" s="26"/>
      <c r="Y8" s="276" t="b">
        <v>1</v>
      </c>
    </row>
    <row r="9" spans="1:25" x14ac:dyDescent="0.2">
      <c r="B9" s="25"/>
      <c r="C9" s="181"/>
      <c r="D9" s="180" t="s">
        <v>79</v>
      </c>
      <c r="E9" s="176"/>
      <c r="F9" s="176"/>
      <c r="G9" s="176"/>
      <c r="H9" s="176"/>
      <c r="I9" s="176"/>
      <c r="J9" s="176"/>
      <c r="K9" s="176"/>
      <c r="L9" s="176"/>
      <c r="M9" s="176"/>
      <c r="N9" s="176"/>
      <c r="O9" s="176"/>
      <c r="P9" s="176"/>
      <c r="Q9" s="176"/>
      <c r="R9" s="176"/>
      <c r="S9" s="176"/>
      <c r="T9" s="176"/>
      <c r="U9" s="336" t="str">
        <f>IF(Daten!C2&lt;&gt;"","Achtung: Testversion bis zum "&amp;TEXT(Daten!C2,"TT.MM.JJJJ")&amp;"!","")</f>
        <v/>
      </c>
      <c r="V9" s="177"/>
      <c r="W9" s="26"/>
      <c r="Y9" s="276" t="b">
        <v>1</v>
      </c>
    </row>
    <row r="10" spans="1:25" ht="50.1" customHeight="1" x14ac:dyDescent="0.2">
      <c r="B10" s="25"/>
      <c r="C10" s="181"/>
      <c r="D10" s="1074" t="str">
        <f>"der Förderrechner soll Ihnen einen Überblick zu den möglichen Förderhöhen geben."&amp;" Grundlage ist die Richtlinie zur Förderung der generationengerechten und barrierefreien Anpassung von Mietwohngebäuden durch Modernisierung und Instandsetzung und des Mietwohnungsneubaus (MietwohnungsbauförderR) vom "&amp;TEXT(Daten!$J$12,"TT.MM.JJJJ")&amp;IF(COUNTIF(Daten!$L$12:$L$19,TRUE)&lt;&gt;1,"",IF(INDEX(Daten!$N$12:$N$19,MATCH(TRUE,Daten!$L$12:$L$19,0),1)="",""," ("&amp;INDEX(Daten!$N$12:$N$19,MATCH(TRUE,Daten!$L$12:$L$19,0),1)&amp;")"))&amp;". Abgebildet werden Förderungen für folgende Maßnahmen:"</f>
        <v>der Förderrechner soll Ihnen einen Überblick zu den möglichen Förderhöhen geben. Grundlage ist die Richtlinie zur Förderung der generationengerechten und barrierefreien Anpassung von Mietwohngebäuden durch Modernisierung und Instandsetzung und des Mietwohnungsneubaus (MietwohnungsbauförderR) vom 01.12.2023. Abgebildet werden Förderungen für folgende Maßnahmen:</v>
      </c>
      <c r="E10" s="1074"/>
      <c r="F10" s="1074"/>
      <c r="G10" s="1074"/>
      <c r="H10" s="1074"/>
      <c r="I10" s="1074"/>
      <c r="J10" s="1074"/>
      <c r="K10" s="1074"/>
      <c r="L10" s="1074"/>
      <c r="M10" s="1074"/>
      <c r="N10" s="1074"/>
      <c r="O10" s="1074"/>
      <c r="P10" s="1074"/>
      <c r="Q10" s="1074"/>
      <c r="R10" s="1074"/>
      <c r="S10" s="1074"/>
      <c r="T10" s="1074"/>
      <c r="U10" s="1074"/>
      <c r="V10" s="178"/>
      <c r="W10" s="26"/>
      <c r="Y10" s="276" t="b">
        <v>1</v>
      </c>
    </row>
    <row r="11" spans="1:25" x14ac:dyDescent="0.2">
      <c r="B11" s="25"/>
      <c r="C11" s="537"/>
      <c r="D11" s="180" t="s">
        <v>80</v>
      </c>
      <c r="E11" s="176" t="s">
        <v>205</v>
      </c>
      <c r="F11" s="176"/>
      <c r="G11" s="176"/>
      <c r="H11" s="176"/>
      <c r="I11" s="176"/>
      <c r="J11" s="176"/>
      <c r="K11" s="176"/>
      <c r="L11" s="176"/>
      <c r="M11" s="176"/>
      <c r="N11" s="176"/>
      <c r="O11" s="176"/>
      <c r="P11" s="176"/>
      <c r="Q11" s="176"/>
      <c r="R11" s="176"/>
      <c r="S11" s="176"/>
      <c r="T11" s="176"/>
      <c r="U11" s="176"/>
      <c r="V11" s="177"/>
      <c r="W11" s="26"/>
      <c r="Y11" s="276" t="b">
        <v>1</v>
      </c>
    </row>
    <row r="12" spans="1:25" ht="1.9" customHeight="1" x14ac:dyDescent="0.2">
      <c r="B12" s="25"/>
      <c r="C12" s="537"/>
      <c r="D12" s="180"/>
      <c r="E12" s="176"/>
      <c r="F12" s="176"/>
      <c r="G12" s="176"/>
      <c r="H12" s="176"/>
      <c r="I12" s="176"/>
      <c r="J12" s="176"/>
      <c r="K12" s="176"/>
      <c r="L12" s="176"/>
      <c r="M12" s="176"/>
      <c r="N12" s="176"/>
      <c r="O12" s="176"/>
      <c r="P12" s="176"/>
      <c r="Q12" s="176"/>
      <c r="R12" s="176"/>
      <c r="S12" s="176"/>
      <c r="T12" s="176"/>
      <c r="U12" s="176"/>
      <c r="V12" s="177"/>
      <c r="W12" s="26"/>
      <c r="Y12" s="276" t="b">
        <v>1</v>
      </c>
    </row>
    <row r="13" spans="1:25" x14ac:dyDescent="0.2">
      <c r="B13" s="25"/>
      <c r="C13" s="537"/>
      <c r="D13" s="180" t="s">
        <v>80</v>
      </c>
      <c r="E13" s="176" t="s">
        <v>206</v>
      </c>
      <c r="F13" s="176"/>
      <c r="G13" s="176"/>
      <c r="H13" s="176"/>
      <c r="I13" s="176"/>
      <c r="J13" s="176"/>
      <c r="K13" s="176"/>
      <c r="L13" s="176"/>
      <c r="M13" s="176"/>
      <c r="N13" s="176"/>
      <c r="O13" s="176"/>
      <c r="P13" s="176"/>
      <c r="Q13" s="176"/>
      <c r="R13" s="176"/>
      <c r="S13" s="176"/>
      <c r="T13" s="176"/>
      <c r="U13" s="176"/>
      <c r="V13" s="177"/>
      <c r="W13" s="26"/>
      <c r="Y13" s="276" t="b">
        <v>1</v>
      </c>
    </row>
    <row r="14" spans="1:25" ht="1.9" customHeight="1" x14ac:dyDescent="0.2">
      <c r="B14" s="25"/>
      <c r="C14" s="537"/>
      <c r="D14" s="180"/>
      <c r="E14" s="176"/>
      <c r="F14" s="176"/>
      <c r="G14" s="176"/>
      <c r="H14" s="176"/>
      <c r="I14" s="176"/>
      <c r="J14" s="176"/>
      <c r="K14" s="176"/>
      <c r="L14" s="176"/>
      <c r="M14" s="176"/>
      <c r="N14" s="176"/>
      <c r="O14" s="176"/>
      <c r="P14" s="176"/>
      <c r="Q14" s="176"/>
      <c r="R14" s="176"/>
      <c r="S14" s="176"/>
      <c r="T14" s="176"/>
      <c r="U14" s="176"/>
      <c r="V14" s="177"/>
      <c r="W14" s="26"/>
      <c r="Y14" s="276" t="b">
        <v>1</v>
      </c>
    </row>
    <row r="15" spans="1:25" x14ac:dyDescent="0.2">
      <c r="B15" s="25"/>
      <c r="C15" s="537"/>
      <c r="D15" s="180" t="s">
        <v>80</v>
      </c>
      <c r="E15" s="176" t="s">
        <v>81</v>
      </c>
      <c r="F15" s="179"/>
      <c r="G15" s="179"/>
      <c r="H15" s="179"/>
      <c r="I15" s="179"/>
      <c r="J15" s="179"/>
      <c r="K15" s="179"/>
      <c r="L15" s="179"/>
      <c r="M15" s="179"/>
      <c r="N15" s="179"/>
      <c r="O15" s="179"/>
      <c r="P15" s="179"/>
      <c r="Q15" s="179"/>
      <c r="R15" s="179"/>
      <c r="S15" s="179"/>
      <c r="T15" s="179"/>
      <c r="U15" s="179"/>
      <c r="V15" s="177"/>
      <c r="W15" s="26"/>
      <c r="Y15" s="276" t="b">
        <v>1</v>
      </c>
    </row>
    <row r="16" spans="1:25" x14ac:dyDescent="0.2">
      <c r="B16" s="25"/>
      <c r="C16" s="181"/>
      <c r="D16" s="176"/>
      <c r="E16" s="176" t="s">
        <v>207</v>
      </c>
      <c r="F16" s="176"/>
      <c r="G16" s="176"/>
      <c r="H16" s="176"/>
      <c r="I16" s="176"/>
      <c r="J16" s="176"/>
      <c r="K16" s="176"/>
      <c r="L16" s="176"/>
      <c r="M16" s="176"/>
      <c r="N16" s="176"/>
      <c r="O16" s="176"/>
      <c r="P16" s="176"/>
      <c r="Q16" s="176"/>
      <c r="R16" s="176"/>
      <c r="S16" s="176"/>
      <c r="T16" s="176"/>
      <c r="U16" s="176"/>
      <c r="V16" s="177"/>
      <c r="W16" s="26"/>
      <c r="Y16" s="276" t="b">
        <v>1</v>
      </c>
    </row>
    <row r="17" spans="2:25" ht="14.25" customHeight="1" x14ac:dyDescent="0.2">
      <c r="B17" s="25"/>
      <c r="C17" s="181"/>
      <c r="D17" s="176" t="s">
        <v>80</v>
      </c>
      <c r="E17" s="176" t="s">
        <v>586</v>
      </c>
      <c r="F17" s="176"/>
      <c r="G17" s="176"/>
      <c r="H17" s="176"/>
      <c r="I17" s="176"/>
      <c r="J17" s="176"/>
      <c r="K17" s="176"/>
      <c r="L17" s="176"/>
      <c r="M17" s="176"/>
      <c r="N17" s="176"/>
      <c r="O17" s="176"/>
      <c r="P17" s="176"/>
      <c r="Q17" s="176"/>
      <c r="R17" s="176"/>
      <c r="S17" s="176"/>
      <c r="T17" s="176"/>
      <c r="U17" s="176"/>
      <c r="V17" s="177"/>
      <c r="W17" s="26"/>
      <c r="Y17" s="276" t="b">
        <v>1</v>
      </c>
    </row>
    <row r="18" spans="2:25" ht="14.25" customHeight="1" x14ac:dyDescent="0.2">
      <c r="B18" s="175"/>
      <c r="C18" s="181"/>
      <c r="D18" s="176"/>
      <c r="E18" s="176"/>
      <c r="F18" s="176"/>
      <c r="G18" s="176"/>
      <c r="H18" s="176"/>
      <c r="I18" s="176"/>
      <c r="J18" s="176"/>
      <c r="K18" s="176"/>
      <c r="L18" s="176"/>
      <c r="M18" s="176"/>
      <c r="N18" s="176"/>
      <c r="O18" s="176"/>
      <c r="P18" s="176"/>
      <c r="Q18" s="176"/>
      <c r="R18" s="176"/>
      <c r="S18" s="176"/>
      <c r="T18" s="176"/>
      <c r="U18" s="176"/>
      <c r="V18" s="177"/>
      <c r="W18" s="26"/>
      <c r="Y18" s="276" t="b">
        <v>1</v>
      </c>
    </row>
    <row r="19" spans="2:25" ht="15" customHeight="1" x14ac:dyDescent="0.2">
      <c r="B19" s="25"/>
      <c r="C19" s="181"/>
      <c r="D19" s="180" t="s">
        <v>82</v>
      </c>
      <c r="E19" s="176"/>
      <c r="F19" s="176"/>
      <c r="G19" s="176"/>
      <c r="H19" s="176"/>
      <c r="I19" s="176"/>
      <c r="J19" s="176"/>
      <c r="K19" s="176"/>
      <c r="L19" s="176"/>
      <c r="M19" s="176"/>
      <c r="N19" s="176"/>
      <c r="O19" s="176"/>
      <c r="P19" s="176"/>
      <c r="Q19" s="176"/>
      <c r="R19" s="176"/>
      <c r="S19" s="176"/>
      <c r="T19" s="176"/>
      <c r="U19" s="487"/>
      <c r="V19" s="177"/>
      <c r="W19" s="26"/>
      <c r="Y19" s="276" t="b">
        <v>1</v>
      </c>
    </row>
    <row r="20" spans="2:25" ht="14.25" customHeight="1" x14ac:dyDescent="0.2">
      <c r="B20" s="25"/>
      <c r="C20" s="181"/>
      <c r="D20" s="486" t="s">
        <v>80</v>
      </c>
      <c r="E20" s="485" t="s">
        <v>443</v>
      </c>
      <c r="F20" s="176"/>
      <c r="G20" s="176"/>
      <c r="H20" s="176"/>
      <c r="I20" s="176"/>
      <c r="J20" s="176"/>
      <c r="K20" s="176"/>
      <c r="L20" s="176"/>
      <c r="M20" s="176"/>
      <c r="N20" s="176"/>
      <c r="O20" s="176"/>
      <c r="P20" s="176"/>
      <c r="Q20" s="176"/>
      <c r="R20" s="176"/>
      <c r="S20" s="176"/>
      <c r="T20" s="176"/>
      <c r="U20" s="176"/>
      <c r="V20" s="177"/>
      <c r="W20" s="26"/>
      <c r="Y20" s="276" t="b">
        <v>1</v>
      </c>
    </row>
    <row r="21" spans="2:25" ht="2.1" customHeight="1" x14ac:dyDescent="0.2">
      <c r="B21" s="175"/>
      <c r="C21" s="181"/>
      <c r="D21" s="486"/>
      <c r="E21" s="176"/>
      <c r="F21" s="176"/>
      <c r="G21" s="176"/>
      <c r="H21" s="176"/>
      <c r="I21" s="176"/>
      <c r="J21" s="176"/>
      <c r="K21" s="176"/>
      <c r="L21" s="176"/>
      <c r="M21" s="176"/>
      <c r="N21" s="176"/>
      <c r="O21" s="176"/>
      <c r="P21" s="176"/>
      <c r="Q21" s="176"/>
      <c r="R21" s="176"/>
      <c r="S21" s="176"/>
      <c r="T21" s="176"/>
      <c r="U21" s="176"/>
      <c r="V21" s="177"/>
      <c r="W21" s="26"/>
      <c r="Y21" s="276" t="b">
        <v>1</v>
      </c>
    </row>
    <row r="22" spans="2:25" ht="14.25" customHeight="1" x14ac:dyDescent="0.2">
      <c r="B22" s="175"/>
      <c r="C22" s="181"/>
      <c r="D22" s="486" t="s">
        <v>80</v>
      </c>
      <c r="E22" s="488" t="str">
        <f ca="1">"Diese Version "&amp;VLOOKUP(TODAY(),Programmversionen!$B$10:$C$109,2)&amp;" des Förderrechners vom "&amp;TEXT(VLOOKUP(TODAY(),Programmversionen!$B$10:$C$109,1),"TT.MM.JJJJ")&amp;" ist für folgende Anwender vorgesehen: "&amp;Daten!M2&amp;"."</f>
        <v>Diese Version 24.03 des Förderrechners vom 31.01.2024 ist für folgende Anwender vorgesehen: LBV / MIL (Extern).</v>
      </c>
      <c r="F22" s="176"/>
      <c r="G22" s="176"/>
      <c r="H22" s="176"/>
      <c r="I22" s="176"/>
      <c r="J22" s="176"/>
      <c r="K22" s="176"/>
      <c r="L22" s="176"/>
      <c r="M22" s="176"/>
      <c r="N22" s="176"/>
      <c r="O22" s="176"/>
      <c r="P22" s="176"/>
      <c r="Q22" s="176"/>
      <c r="R22" s="176"/>
      <c r="S22" s="176"/>
      <c r="T22" s="176"/>
      <c r="U22" s="176"/>
      <c r="V22" s="177"/>
      <c r="W22" s="26"/>
      <c r="Y22" s="276" t="b">
        <v>1</v>
      </c>
    </row>
    <row r="23" spans="2:25" ht="2.1" customHeight="1" x14ac:dyDescent="0.2">
      <c r="B23" s="175"/>
      <c r="C23" s="181"/>
      <c r="D23" s="486"/>
      <c r="E23" s="176"/>
      <c r="F23" s="176"/>
      <c r="G23" s="176"/>
      <c r="H23" s="176"/>
      <c r="I23" s="176"/>
      <c r="J23" s="176"/>
      <c r="K23" s="176"/>
      <c r="L23" s="176"/>
      <c r="M23" s="176"/>
      <c r="N23" s="176"/>
      <c r="O23" s="176"/>
      <c r="P23" s="176"/>
      <c r="Q23" s="176"/>
      <c r="R23" s="176"/>
      <c r="S23" s="176"/>
      <c r="T23" s="176"/>
      <c r="U23" s="176"/>
      <c r="V23" s="177"/>
      <c r="W23" s="26"/>
      <c r="Y23" s="276" t="b">
        <v>1</v>
      </c>
    </row>
    <row r="24" spans="2:25" ht="14.25" customHeight="1" x14ac:dyDescent="0.2">
      <c r="B24" s="25"/>
      <c r="C24" s="181"/>
      <c r="D24" s="486" t="s">
        <v>80</v>
      </c>
      <c r="E24" s="176" t="s">
        <v>442</v>
      </c>
      <c r="F24" s="176"/>
      <c r="G24" s="176"/>
      <c r="H24" s="176"/>
      <c r="I24" s="176"/>
      <c r="J24" s="176"/>
      <c r="K24" s="176"/>
      <c r="L24" s="176"/>
      <c r="M24" s="176"/>
      <c r="N24" s="176"/>
      <c r="O24" s="176"/>
      <c r="P24" s="176"/>
      <c r="Q24" s="176"/>
      <c r="R24" s="176"/>
      <c r="S24" s="176"/>
      <c r="T24" s="176"/>
      <c r="U24" s="176"/>
      <c r="V24" s="177"/>
      <c r="W24" s="26"/>
      <c r="Y24" s="276" t="b">
        <v>1</v>
      </c>
    </row>
    <row r="25" spans="2:25" ht="2.1" customHeight="1" x14ac:dyDescent="0.2">
      <c r="B25" s="25"/>
      <c r="C25" s="181"/>
      <c r="D25" s="180"/>
      <c r="E25" s="176"/>
      <c r="F25" s="176"/>
      <c r="G25" s="176"/>
      <c r="H25" s="176"/>
      <c r="I25" s="176"/>
      <c r="J25" s="176"/>
      <c r="K25" s="176"/>
      <c r="L25" s="176"/>
      <c r="M25" s="176"/>
      <c r="N25" s="176"/>
      <c r="O25" s="176"/>
      <c r="P25" s="176"/>
      <c r="Q25" s="176"/>
      <c r="R25" s="176"/>
      <c r="S25" s="176"/>
      <c r="T25" s="176"/>
      <c r="U25" s="176"/>
      <c r="V25" s="177"/>
      <c r="W25" s="26"/>
      <c r="Y25" s="276" t="b">
        <v>1</v>
      </c>
    </row>
    <row r="26" spans="2:25" x14ac:dyDescent="0.2">
      <c r="B26" s="25"/>
      <c r="C26" s="181"/>
      <c r="D26" s="486" t="s">
        <v>80</v>
      </c>
      <c r="E26" s="176" t="s">
        <v>333</v>
      </c>
      <c r="F26" s="176"/>
      <c r="G26" s="176"/>
      <c r="H26" s="176"/>
      <c r="I26" s="176"/>
      <c r="J26" s="176"/>
      <c r="K26" s="176"/>
      <c r="L26" s="176"/>
      <c r="M26" s="176"/>
      <c r="N26" s="176"/>
      <c r="O26" s="176"/>
      <c r="P26" s="176"/>
      <c r="Q26" s="176"/>
      <c r="R26" s="176"/>
      <c r="S26" s="176"/>
      <c r="T26" s="176"/>
      <c r="U26" s="176"/>
      <c r="V26" s="177"/>
      <c r="W26" s="26"/>
      <c r="Y26" s="276" t="b">
        <v>1</v>
      </c>
    </row>
    <row r="27" spans="2:25" x14ac:dyDescent="0.2">
      <c r="B27" s="25"/>
      <c r="C27" s="181"/>
      <c r="D27" s="486"/>
      <c r="E27" s="176" t="s">
        <v>87</v>
      </c>
      <c r="F27" s="176"/>
      <c r="G27" s="176"/>
      <c r="H27" s="176"/>
      <c r="I27" s="176"/>
      <c r="J27" s="176"/>
      <c r="K27" s="176"/>
      <c r="L27" s="176"/>
      <c r="M27" s="176"/>
      <c r="N27" s="176"/>
      <c r="O27" s="176"/>
      <c r="P27" s="176"/>
      <c r="Q27" s="176"/>
      <c r="R27" s="176"/>
      <c r="S27" s="176"/>
      <c r="T27" s="176"/>
      <c r="U27" s="176"/>
      <c r="V27" s="177"/>
      <c r="W27" s="26"/>
      <c r="Y27" s="276" t="b">
        <v>1</v>
      </c>
    </row>
    <row r="28" spans="2:25" x14ac:dyDescent="0.2">
      <c r="B28" s="25"/>
      <c r="C28" s="181"/>
      <c r="D28" s="486"/>
      <c r="E28" s="176" t="s">
        <v>334</v>
      </c>
      <c r="F28" s="176"/>
      <c r="G28" s="176"/>
      <c r="H28" s="176"/>
      <c r="I28" s="176"/>
      <c r="J28" s="176"/>
      <c r="K28" s="176"/>
      <c r="L28" s="176"/>
      <c r="M28" s="176"/>
      <c r="N28" s="176"/>
      <c r="O28" s="176"/>
      <c r="P28" s="176"/>
      <c r="Q28" s="176"/>
      <c r="R28" s="176"/>
      <c r="S28" s="176"/>
      <c r="T28" s="176"/>
      <c r="U28" s="176"/>
      <c r="V28" s="177"/>
      <c r="W28" s="26"/>
      <c r="Y28" s="276" t="b">
        <v>1</v>
      </c>
    </row>
    <row r="29" spans="2:25" ht="1.9" customHeight="1" x14ac:dyDescent="0.2">
      <c r="B29" s="25"/>
      <c r="C29" s="181"/>
      <c r="D29" s="486"/>
      <c r="E29" s="176"/>
      <c r="F29" s="176"/>
      <c r="G29" s="176"/>
      <c r="H29" s="176"/>
      <c r="I29" s="176"/>
      <c r="J29" s="176"/>
      <c r="K29" s="176"/>
      <c r="L29" s="176"/>
      <c r="M29" s="176"/>
      <c r="N29" s="176"/>
      <c r="O29" s="176"/>
      <c r="P29" s="176"/>
      <c r="Q29" s="176"/>
      <c r="R29" s="176"/>
      <c r="S29" s="176"/>
      <c r="T29" s="176"/>
      <c r="U29" s="176"/>
      <c r="V29" s="177"/>
      <c r="W29" s="26"/>
      <c r="Y29" s="276" t="b">
        <v>1</v>
      </c>
    </row>
    <row r="30" spans="2:25" x14ac:dyDescent="0.2">
      <c r="B30" s="25"/>
      <c r="C30" s="181"/>
      <c r="D30" s="486" t="s">
        <v>80</v>
      </c>
      <c r="E30" s="176" t="s">
        <v>83</v>
      </c>
      <c r="F30" s="176"/>
      <c r="G30" s="176"/>
      <c r="H30" s="176"/>
      <c r="I30" s="176"/>
      <c r="J30" s="176"/>
      <c r="K30" s="176"/>
      <c r="L30" s="176"/>
      <c r="M30" s="176"/>
      <c r="N30" s="176"/>
      <c r="O30" s="176"/>
      <c r="P30" s="176"/>
      <c r="Q30" s="176"/>
      <c r="R30" s="176"/>
      <c r="S30" s="176"/>
      <c r="T30" s="176"/>
      <c r="U30" s="176"/>
      <c r="V30" s="177"/>
      <c r="W30" s="26"/>
      <c r="Y30" s="276" t="b">
        <v>1</v>
      </c>
    </row>
    <row r="31" spans="2:25" ht="1.9" customHeight="1" x14ac:dyDescent="0.2">
      <c r="B31" s="25"/>
      <c r="C31" s="181"/>
      <c r="D31" s="486"/>
      <c r="E31" s="176"/>
      <c r="F31" s="176"/>
      <c r="G31" s="176"/>
      <c r="H31" s="176"/>
      <c r="I31" s="176"/>
      <c r="J31" s="176"/>
      <c r="K31" s="176"/>
      <c r="L31" s="176"/>
      <c r="M31" s="176"/>
      <c r="N31" s="176"/>
      <c r="O31" s="176"/>
      <c r="P31" s="176"/>
      <c r="Q31" s="176"/>
      <c r="R31" s="176"/>
      <c r="S31" s="176"/>
      <c r="T31" s="176"/>
      <c r="U31" s="176"/>
      <c r="V31" s="177"/>
      <c r="W31" s="26"/>
      <c r="Y31" s="276" t="b">
        <v>1</v>
      </c>
    </row>
    <row r="32" spans="2:25" ht="13.9" customHeight="1" x14ac:dyDescent="0.2">
      <c r="B32" s="25"/>
      <c r="C32" s="181"/>
      <c r="D32" s="486" t="s">
        <v>80</v>
      </c>
      <c r="E32" s="176" t="s">
        <v>142</v>
      </c>
      <c r="F32" s="176"/>
      <c r="G32" s="176"/>
      <c r="H32" s="176"/>
      <c r="I32" s="176"/>
      <c r="J32" s="176"/>
      <c r="K32" s="176"/>
      <c r="L32" s="176"/>
      <c r="M32" s="176"/>
      <c r="N32" s="176"/>
      <c r="O32" s="176"/>
      <c r="P32" s="176"/>
      <c r="Q32" s="176"/>
      <c r="R32" s="176"/>
      <c r="S32" s="176"/>
      <c r="T32" s="176"/>
      <c r="U32" s="176"/>
      <c r="V32" s="177"/>
      <c r="W32" s="26"/>
      <c r="Y32" s="276" t="b">
        <v>1</v>
      </c>
    </row>
    <row r="33" spans="2:25" ht="13.9" customHeight="1" x14ac:dyDescent="0.2">
      <c r="B33" s="25"/>
      <c r="C33" s="181"/>
      <c r="D33" s="486"/>
      <c r="E33" s="176" t="s">
        <v>93</v>
      </c>
      <c r="F33" s="176"/>
      <c r="G33" s="176"/>
      <c r="H33" s="176"/>
      <c r="I33" s="176"/>
      <c r="J33" s="176"/>
      <c r="K33" s="176"/>
      <c r="L33" s="176"/>
      <c r="M33" s="176"/>
      <c r="N33" s="176"/>
      <c r="O33" s="176"/>
      <c r="P33" s="176"/>
      <c r="Q33" s="176"/>
      <c r="R33" s="176"/>
      <c r="S33" s="176"/>
      <c r="T33" s="176"/>
      <c r="U33" s="176"/>
      <c r="V33" s="177"/>
      <c r="W33" s="26"/>
      <c r="Y33" s="276" t="b">
        <v>1</v>
      </c>
    </row>
    <row r="34" spans="2:25" ht="1.9" customHeight="1" x14ac:dyDescent="0.2">
      <c r="B34" s="25"/>
      <c r="C34" s="181"/>
      <c r="D34" s="486"/>
      <c r="E34" s="176"/>
      <c r="F34" s="176"/>
      <c r="G34" s="176"/>
      <c r="H34" s="176"/>
      <c r="I34" s="176"/>
      <c r="J34" s="176"/>
      <c r="K34" s="176"/>
      <c r="L34" s="176"/>
      <c r="M34" s="176"/>
      <c r="N34" s="176"/>
      <c r="O34" s="176"/>
      <c r="P34" s="176"/>
      <c r="Q34" s="176"/>
      <c r="R34" s="176"/>
      <c r="S34" s="176"/>
      <c r="T34" s="176"/>
      <c r="U34" s="176"/>
      <c r="V34" s="177"/>
      <c r="W34" s="26"/>
      <c r="Y34" s="276" t="b">
        <v>1</v>
      </c>
    </row>
    <row r="35" spans="2:25" x14ac:dyDescent="0.2">
      <c r="B35" s="25"/>
      <c r="C35" s="181"/>
      <c r="D35" s="486" t="s">
        <v>80</v>
      </c>
      <c r="E35" s="485" t="s">
        <v>84</v>
      </c>
      <c r="F35" s="176"/>
      <c r="G35" s="176"/>
      <c r="H35" s="176"/>
      <c r="I35" s="176"/>
      <c r="J35" s="176"/>
      <c r="K35" s="176"/>
      <c r="L35" s="176"/>
      <c r="M35" s="176"/>
      <c r="N35" s="176"/>
      <c r="O35" s="176"/>
      <c r="P35" s="176"/>
      <c r="Q35" s="176"/>
      <c r="R35" s="176"/>
      <c r="S35" s="176"/>
      <c r="T35" s="176"/>
      <c r="U35" s="176"/>
      <c r="V35" s="177"/>
      <c r="W35" s="26"/>
      <c r="Y35" s="276" t="b">
        <v>1</v>
      </c>
    </row>
    <row r="36" spans="2:25" x14ac:dyDescent="0.2">
      <c r="B36" s="25"/>
      <c r="C36" s="181"/>
      <c r="D36" s="176"/>
      <c r="E36" s="176" t="s">
        <v>86</v>
      </c>
      <c r="F36" s="176"/>
      <c r="G36" s="176"/>
      <c r="H36" s="176"/>
      <c r="I36" s="176"/>
      <c r="J36" s="176"/>
      <c r="K36" s="176"/>
      <c r="L36" s="176"/>
      <c r="M36" s="176"/>
      <c r="N36" s="176"/>
      <c r="O36" s="176"/>
      <c r="P36" s="176"/>
      <c r="Q36" s="176"/>
      <c r="R36" s="176"/>
      <c r="S36" s="176"/>
      <c r="T36" s="176"/>
      <c r="U36" s="176"/>
      <c r="V36" s="177"/>
      <c r="W36" s="26"/>
      <c r="Y36" s="276" t="b">
        <v>1</v>
      </c>
    </row>
    <row r="37" spans="2:25" x14ac:dyDescent="0.2">
      <c r="B37" s="25"/>
      <c r="C37" s="181"/>
      <c r="D37" s="176"/>
      <c r="E37" s="176" t="s">
        <v>85</v>
      </c>
      <c r="F37" s="176"/>
      <c r="G37" s="176"/>
      <c r="H37" s="176"/>
      <c r="I37" s="176"/>
      <c r="J37" s="176"/>
      <c r="K37" s="176"/>
      <c r="L37" s="176"/>
      <c r="M37" s="176"/>
      <c r="N37" s="176"/>
      <c r="O37" s="176"/>
      <c r="P37" s="176"/>
      <c r="Q37" s="176"/>
      <c r="R37" s="176"/>
      <c r="S37" s="176"/>
      <c r="T37" s="176"/>
      <c r="U37" s="176"/>
      <c r="V37" s="177"/>
      <c r="W37" s="26"/>
      <c r="Y37" s="276" t="b">
        <v>1</v>
      </c>
    </row>
    <row r="38" spans="2:25" ht="14.25" customHeight="1" x14ac:dyDescent="0.2">
      <c r="B38" s="175"/>
      <c r="C38" s="181"/>
      <c r="D38" s="176"/>
      <c r="E38" s="176"/>
      <c r="F38" s="176"/>
      <c r="G38" s="176"/>
      <c r="H38" s="176"/>
      <c r="I38" s="176"/>
      <c r="J38" s="176"/>
      <c r="K38" s="176"/>
      <c r="L38" s="176"/>
      <c r="M38" s="176"/>
      <c r="N38" s="176"/>
      <c r="O38" s="176"/>
      <c r="P38" s="176"/>
      <c r="Q38" s="176"/>
      <c r="R38" s="176"/>
      <c r="S38" s="176"/>
      <c r="T38" s="176"/>
      <c r="U38" s="176"/>
      <c r="V38" s="177"/>
      <c r="W38" s="26"/>
      <c r="Y38" s="276" t="b">
        <v>1</v>
      </c>
    </row>
    <row r="39" spans="2:25" x14ac:dyDescent="0.2">
      <c r="B39" s="175"/>
      <c r="C39" s="181"/>
      <c r="D39" s="180" t="s">
        <v>258</v>
      </c>
      <c r="E39" s="176"/>
      <c r="F39" s="176"/>
      <c r="G39" s="176"/>
      <c r="H39" s="176"/>
      <c r="I39" s="176"/>
      <c r="J39" s="176"/>
      <c r="K39" s="176"/>
      <c r="L39" s="176"/>
      <c r="M39" s="176"/>
      <c r="N39" s="176"/>
      <c r="O39" s="176"/>
      <c r="P39" s="176"/>
      <c r="Q39" s="176"/>
      <c r="R39" s="176"/>
      <c r="S39" s="176"/>
      <c r="T39" s="176"/>
      <c r="U39" s="176"/>
      <c r="V39" s="177"/>
      <c r="W39" s="26"/>
      <c r="Y39" s="276" t="b">
        <v>1</v>
      </c>
    </row>
    <row r="40" spans="2:25" x14ac:dyDescent="0.2">
      <c r="B40" s="175"/>
      <c r="C40" s="181"/>
      <c r="D40" s="486" t="s">
        <v>80</v>
      </c>
      <c r="E40" s="176" t="s">
        <v>266</v>
      </c>
      <c r="F40" s="176"/>
      <c r="G40" s="176"/>
      <c r="H40" s="176"/>
      <c r="I40" s="176"/>
      <c r="J40" s="176"/>
      <c r="K40" s="176"/>
      <c r="L40" s="176"/>
      <c r="M40" s="176"/>
      <c r="N40" s="176"/>
      <c r="O40" s="176"/>
      <c r="P40" s="176"/>
      <c r="Q40" s="176"/>
      <c r="R40" s="176"/>
      <c r="S40" s="176"/>
      <c r="T40" s="176"/>
      <c r="U40" s="176"/>
      <c r="V40" s="177"/>
      <c r="W40" s="26"/>
      <c r="Y40" s="276" t="b">
        <v>1</v>
      </c>
    </row>
    <row r="41" spans="2:25" ht="2.1" customHeight="1" x14ac:dyDescent="0.2">
      <c r="B41" s="175"/>
      <c r="C41" s="181"/>
      <c r="D41" s="486"/>
      <c r="E41" s="176"/>
      <c r="F41" s="176"/>
      <c r="G41" s="176"/>
      <c r="H41" s="176"/>
      <c r="I41" s="176"/>
      <c r="J41" s="176"/>
      <c r="K41" s="176"/>
      <c r="L41" s="176"/>
      <c r="M41" s="176"/>
      <c r="N41" s="176"/>
      <c r="O41" s="176"/>
      <c r="P41" s="176"/>
      <c r="Q41" s="176"/>
      <c r="R41" s="176"/>
      <c r="S41" s="176"/>
      <c r="T41" s="176"/>
      <c r="U41" s="176"/>
      <c r="V41" s="177"/>
      <c r="W41" s="26"/>
      <c r="Y41" s="276" t="b">
        <v>1</v>
      </c>
    </row>
    <row r="42" spans="2:25" x14ac:dyDescent="0.2">
      <c r="B42" s="175"/>
      <c r="C42" s="181"/>
      <c r="D42" s="486" t="s">
        <v>80</v>
      </c>
      <c r="E42" s="176" t="s">
        <v>259</v>
      </c>
      <c r="F42" s="176"/>
      <c r="G42" s="176"/>
      <c r="H42" s="176"/>
      <c r="I42" s="538"/>
      <c r="J42" s="176"/>
      <c r="K42" s="176"/>
      <c r="L42" s="176"/>
      <c r="M42" s="1068"/>
      <c r="N42" s="1069"/>
      <c r="O42" s="176"/>
      <c r="P42" s="176"/>
      <c r="Q42" s="176"/>
      <c r="R42" s="176"/>
      <c r="S42" s="176"/>
      <c r="T42" s="176"/>
      <c r="U42" s="176"/>
      <c r="V42" s="177"/>
      <c r="W42" s="26"/>
      <c r="Y42" s="276" t="b">
        <v>1</v>
      </c>
    </row>
    <row r="43" spans="2:25" ht="2.1" customHeight="1" x14ac:dyDescent="0.2">
      <c r="B43" s="175"/>
      <c r="C43" s="181"/>
      <c r="D43" s="486"/>
      <c r="E43" s="176"/>
      <c r="F43" s="176"/>
      <c r="G43" s="176"/>
      <c r="H43" s="176"/>
      <c r="I43" s="538"/>
      <c r="J43" s="176"/>
      <c r="K43" s="176"/>
      <c r="L43" s="176"/>
      <c r="M43" s="372"/>
      <c r="N43" s="372"/>
      <c r="O43" s="176"/>
      <c r="P43" s="176"/>
      <c r="Q43" s="176"/>
      <c r="R43" s="176"/>
      <c r="S43" s="176"/>
      <c r="T43" s="176"/>
      <c r="U43" s="176"/>
      <c r="V43" s="177"/>
      <c r="W43" s="26"/>
      <c r="Y43" s="276" t="b">
        <v>1</v>
      </c>
    </row>
    <row r="44" spans="2:25" x14ac:dyDescent="0.2">
      <c r="B44" s="175"/>
      <c r="C44" s="181"/>
      <c r="D44" s="486" t="s">
        <v>80</v>
      </c>
      <c r="E44" s="176" t="s">
        <v>260</v>
      </c>
      <c r="F44" s="176"/>
      <c r="G44" s="176"/>
      <c r="H44" s="176"/>
      <c r="I44" s="538"/>
      <c r="J44" s="176"/>
      <c r="K44" s="176"/>
      <c r="L44" s="176"/>
      <c r="M44" s="1070"/>
      <c r="N44" s="1071"/>
      <c r="O44" s="176"/>
      <c r="P44" s="176"/>
      <c r="Q44" s="176"/>
      <c r="R44" s="176"/>
      <c r="S44" s="176"/>
      <c r="T44" s="176"/>
      <c r="U44" s="176"/>
      <c r="V44" s="177"/>
      <c r="W44" s="26"/>
      <c r="Y44" s="276" t="b">
        <v>1</v>
      </c>
    </row>
    <row r="45" spans="2:25" ht="2.1" customHeight="1" x14ac:dyDescent="0.2">
      <c r="B45" s="175"/>
      <c r="C45" s="181"/>
      <c r="D45" s="486"/>
      <c r="E45" s="176"/>
      <c r="F45" s="176"/>
      <c r="G45" s="176"/>
      <c r="H45" s="176"/>
      <c r="I45" s="538"/>
      <c r="J45" s="176"/>
      <c r="K45" s="176"/>
      <c r="L45" s="176"/>
      <c r="M45" s="373"/>
      <c r="N45" s="373"/>
      <c r="O45" s="176"/>
      <c r="P45" s="176"/>
      <c r="Q45" s="176"/>
      <c r="R45" s="176"/>
      <c r="S45" s="176"/>
      <c r="T45" s="176"/>
      <c r="U45" s="176"/>
      <c r="V45" s="177"/>
      <c r="W45" s="26"/>
      <c r="Y45" s="276" t="b">
        <v>1</v>
      </c>
    </row>
    <row r="46" spans="2:25" x14ac:dyDescent="0.2">
      <c r="B46" s="175"/>
      <c r="C46" s="181"/>
      <c r="D46" s="486" t="s">
        <v>80</v>
      </c>
      <c r="E46" s="176" t="s">
        <v>357</v>
      </c>
      <c r="F46" s="176"/>
      <c r="G46" s="176"/>
      <c r="H46" s="176"/>
      <c r="I46" s="538"/>
      <c r="J46" s="176"/>
      <c r="K46" s="176"/>
      <c r="L46" s="176"/>
      <c r="M46" s="1072"/>
      <c r="N46" s="1073"/>
      <c r="O46" s="176"/>
      <c r="P46" s="176"/>
      <c r="Q46" s="176"/>
      <c r="R46" s="176"/>
      <c r="S46" s="176"/>
      <c r="T46" s="176"/>
      <c r="U46" s="176"/>
      <c r="V46" s="177"/>
      <c r="W46" s="26"/>
      <c r="Y46" s="276" t="b">
        <v>1</v>
      </c>
    </row>
    <row r="47" spans="2:25" ht="2.1" customHeight="1" x14ac:dyDescent="0.2">
      <c r="B47" s="175"/>
      <c r="C47" s="181"/>
      <c r="D47" s="486"/>
      <c r="E47" s="176"/>
      <c r="F47" s="176"/>
      <c r="G47" s="176"/>
      <c r="H47" s="176"/>
      <c r="I47" s="538"/>
      <c r="J47" s="176"/>
      <c r="K47" s="176"/>
      <c r="L47" s="176"/>
      <c r="M47" s="374"/>
      <c r="N47" s="374"/>
      <c r="O47" s="176"/>
      <c r="P47" s="176"/>
      <c r="Q47" s="176"/>
      <c r="R47" s="176"/>
      <c r="S47" s="176"/>
      <c r="T47" s="176"/>
      <c r="U47" s="176"/>
      <c r="V47" s="177"/>
      <c r="W47" s="26"/>
      <c r="Y47" s="276" t="b">
        <v>1</v>
      </c>
    </row>
    <row r="48" spans="2:25" x14ac:dyDescent="0.2">
      <c r="B48" s="175"/>
      <c r="C48" s="181"/>
      <c r="D48" s="486" t="s">
        <v>80</v>
      </c>
      <c r="E48" s="176" t="s">
        <v>265</v>
      </c>
      <c r="F48" s="176"/>
      <c r="G48" s="176"/>
      <c r="H48" s="176"/>
      <c r="I48" s="538"/>
      <c r="J48" s="176"/>
      <c r="K48" s="176"/>
      <c r="L48" s="176"/>
      <c r="M48" s="539"/>
      <c r="N48" s="540"/>
      <c r="O48" s="176"/>
      <c r="P48" s="176"/>
      <c r="Q48" s="176"/>
      <c r="R48" s="176"/>
      <c r="S48" s="176"/>
      <c r="T48" s="176"/>
      <c r="U48" s="176"/>
      <c r="V48" s="177"/>
      <c r="W48" s="26"/>
      <c r="Y48" s="276" t="b">
        <v>1</v>
      </c>
    </row>
    <row r="49" spans="2:25" ht="14.25" customHeight="1" x14ac:dyDescent="0.2">
      <c r="B49" s="25"/>
      <c r="C49" s="181"/>
      <c r="D49" s="176"/>
      <c r="E49" s="176"/>
      <c r="F49" s="176"/>
      <c r="G49" s="176"/>
      <c r="H49" s="176"/>
      <c r="I49" s="176"/>
      <c r="J49" s="176"/>
      <c r="K49" s="176"/>
      <c r="L49" s="176"/>
      <c r="M49" s="176"/>
      <c r="N49" s="176"/>
      <c r="O49" s="176"/>
      <c r="P49" s="176"/>
      <c r="Q49" s="176"/>
      <c r="R49" s="176"/>
      <c r="S49" s="176"/>
      <c r="T49" s="176"/>
      <c r="U49" s="176"/>
      <c r="V49" s="177"/>
      <c r="W49" s="26"/>
      <c r="Y49" s="276" t="b">
        <v>1</v>
      </c>
    </row>
    <row r="50" spans="2:25" x14ac:dyDescent="0.2">
      <c r="B50" s="25"/>
      <c r="C50" s="181"/>
      <c r="D50" s="176"/>
      <c r="E50" s="176"/>
      <c r="F50" s="176"/>
      <c r="G50" s="176"/>
      <c r="H50" s="176"/>
      <c r="I50" s="176"/>
      <c r="J50" s="176"/>
      <c r="K50" s="176"/>
      <c r="L50" s="176"/>
      <c r="M50" s="176"/>
      <c r="N50" s="176"/>
      <c r="O50" s="176"/>
      <c r="P50" s="176"/>
      <c r="Q50" s="176"/>
      <c r="R50" s="176"/>
      <c r="S50" s="176"/>
      <c r="T50" s="176"/>
      <c r="U50" s="176"/>
      <c r="V50" s="177"/>
      <c r="W50" s="26"/>
      <c r="Y50" s="276" t="b">
        <v>1</v>
      </c>
    </row>
    <row r="51" spans="2:25" x14ac:dyDescent="0.2">
      <c r="B51" s="25"/>
      <c r="C51" s="181"/>
      <c r="D51" s="176"/>
      <c r="E51" s="176"/>
      <c r="F51" s="176"/>
      <c r="G51" s="176"/>
      <c r="H51" s="176"/>
      <c r="I51" s="176"/>
      <c r="J51" s="176"/>
      <c r="K51" s="176"/>
      <c r="L51" s="176"/>
      <c r="M51" s="176"/>
      <c r="N51" s="176"/>
      <c r="O51" s="176"/>
      <c r="P51" s="176"/>
      <c r="Q51" s="176"/>
      <c r="R51" s="176"/>
      <c r="S51" s="176"/>
      <c r="T51" s="176"/>
      <c r="U51" s="176"/>
      <c r="V51" s="177"/>
      <c r="W51" s="26"/>
      <c r="Y51" s="276" t="b">
        <v>1</v>
      </c>
    </row>
    <row r="52" spans="2:25" x14ac:dyDescent="0.2">
      <c r="B52" s="532"/>
      <c r="C52" s="541"/>
      <c r="D52" s="542"/>
      <c r="E52" s="542"/>
      <c r="F52" s="542"/>
      <c r="G52" s="542"/>
      <c r="H52" s="542"/>
      <c r="I52" s="542"/>
      <c r="J52" s="542"/>
      <c r="K52" s="542"/>
      <c r="L52" s="542"/>
      <c r="M52" s="542"/>
      <c r="N52" s="542"/>
      <c r="O52" s="542"/>
      <c r="P52" s="542"/>
      <c r="Q52" s="542"/>
      <c r="R52" s="542"/>
      <c r="S52" s="542"/>
      <c r="T52" s="542"/>
      <c r="U52" s="542"/>
      <c r="V52" s="543"/>
      <c r="W52" s="532"/>
      <c r="Y52" s="276" t="b">
        <v>1</v>
      </c>
    </row>
    <row r="53" spans="2:25" x14ac:dyDescent="0.2">
      <c r="B53" s="532"/>
      <c r="C53" s="541"/>
      <c r="D53" s="544" t="s">
        <v>477</v>
      </c>
      <c r="E53" s="542"/>
      <c r="F53" s="542"/>
      <c r="G53" s="542"/>
      <c r="H53" s="542"/>
      <c r="I53" s="542"/>
      <c r="J53" s="542"/>
      <c r="K53" s="542"/>
      <c r="L53" s="542"/>
      <c r="M53" s="542"/>
      <c r="N53" s="542"/>
      <c r="O53" s="542"/>
      <c r="P53" s="542"/>
      <c r="Q53" s="542"/>
      <c r="R53" s="542"/>
      <c r="S53" s="542"/>
      <c r="T53" s="542"/>
      <c r="U53" s="542"/>
      <c r="V53" s="543"/>
      <c r="W53" s="532"/>
      <c r="Y53" s="276" t="b">
        <v>1</v>
      </c>
    </row>
    <row r="54" spans="2:25" ht="26.1" hidden="1" customHeight="1" x14ac:dyDescent="0.2">
      <c r="B54" s="532"/>
      <c r="C54" s="541"/>
      <c r="D54" s="542"/>
      <c r="E54" s="545" t="s">
        <v>470</v>
      </c>
      <c r="F54" s="542"/>
      <c r="G54" s="542"/>
      <c r="H54" s="542"/>
      <c r="I54" s="542"/>
      <c r="J54" s="542"/>
      <c r="K54" s="542"/>
      <c r="L54" s="542"/>
      <c r="M54" s="542"/>
      <c r="N54" s="542"/>
      <c r="O54" s="542"/>
      <c r="P54" s="542"/>
      <c r="Q54" s="542"/>
      <c r="R54" s="542"/>
      <c r="S54" s="542"/>
      <c r="T54" s="542"/>
      <c r="U54" s="542"/>
      <c r="V54" s="543"/>
      <c r="W54" s="532"/>
      <c r="Y54" s="533" t="b">
        <f>IF(OR(Daten!$C$4=TRUE,Daten!$M$3=TRUE),TRUE,FALSE)</f>
        <v>0</v>
      </c>
    </row>
    <row r="55" spans="2:25" ht="26.1" customHeight="1" x14ac:dyDescent="0.2">
      <c r="B55" s="532"/>
      <c r="C55" s="541"/>
      <c r="D55" s="542"/>
      <c r="E55" s="545" t="s">
        <v>471</v>
      </c>
      <c r="F55" s="542"/>
      <c r="G55" s="542"/>
      <c r="H55" s="542"/>
      <c r="I55" s="542"/>
      <c r="J55" s="542"/>
      <c r="K55" s="542"/>
      <c r="L55" s="542"/>
      <c r="M55" s="542"/>
      <c r="N55" s="542"/>
      <c r="O55" s="542"/>
      <c r="P55" s="542"/>
      <c r="Q55" s="542"/>
      <c r="R55" s="542"/>
      <c r="S55" s="542"/>
      <c r="T55" s="542"/>
      <c r="U55" s="542"/>
      <c r="V55" s="543"/>
      <c r="W55" s="532"/>
      <c r="Y55" s="276" t="b">
        <v>1</v>
      </c>
    </row>
    <row r="56" spans="2:25" ht="26.1" hidden="1" customHeight="1" x14ac:dyDescent="0.2">
      <c r="B56" s="532"/>
      <c r="C56" s="541"/>
      <c r="D56" s="542"/>
      <c r="E56" s="545" t="s">
        <v>472</v>
      </c>
      <c r="F56" s="542"/>
      <c r="G56" s="542"/>
      <c r="H56" s="542"/>
      <c r="I56" s="542"/>
      <c r="J56" s="542"/>
      <c r="K56" s="542"/>
      <c r="L56" s="542"/>
      <c r="M56" s="542"/>
      <c r="N56" s="542"/>
      <c r="O56" s="542"/>
      <c r="P56" s="542"/>
      <c r="Q56" s="542"/>
      <c r="R56" s="542"/>
      <c r="S56" s="542"/>
      <c r="T56" s="542"/>
      <c r="U56" s="542"/>
      <c r="V56" s="543"/>
      <c r="W56" s="532"/>
      <c r="Y56" s="533" t="b">
        <f>Y54</f>
        <v>0</v>
      </c>
    </row>
    <row r="57" spans="2:25" ht="26.1" customHeight="1" x14ac:dyDescent="0.2">
      <c r="B57" s="532"/>
      <c r="C57" s="541"/>
      <c r="D57" s="542"/>
      <c r="E57" s="545" t="s">
        <v>473</v>
      </c>
      <c r="F57" s="542"/>
      <c r="G57" s="542"/>
      <c r="H57" s="542"/>
      <c r="I57" s="542"/>
      <c r="J57" s="542"/>
      <c r="K57" s="542"/>
      <c r="L57" s="542"/>
      <c r="M57" s="542"/>
      <c r="N57" s="542"/>
      <c r="O57" s="542"/>
      <c r="P57" s="542"/>
      <c r="Q57" s="542"/>
      <c r="R57" s="542"/>
      <c r="S57" s="542"/>
      <c r="T57" s="542"/>
      <c r="U57" s="542"/>
      <c r="V57" s="543"/>
      <c r="W57" s="532"/>
      <c r="Y57" s="276" t="b">
        <v>1</v>
      </c>
    </row>
    <row r="58" spans="2:25" ht="26.1" customHeight="1" x14ac:dyDescent="0.2">
      <c r="B58" s="532"/>
      <c r="C58" s="541"/>
      <c r="D58" s="542"/>
      <c r="E58" s="545" t="s">
        <v>474</v>
      </c>
      <c r="F58" s="542"/>
      <c r="G58" s="542"/>
      <c r="H58" s="542"/>
      <c r="I58" s="542"/>
      <c r="J58" s="542"/>
      <c r="K58" s="542"/>
      <c r="L58" s="542"/>
      <c r="M58" s="542"/>
      <c r="N58" s="542"/>
      <c r="O58" s="542"/>
      <c r="P58" s="542"/>
      <c r="Q58" s="542"/>
      <c r="R58" s="542"/>
      <c r="S58" s="542"/>
      <c r="T58" s="542"/>
      <c r="U58" s="542"/>
      <c r="V58" s="543"/>
      <c r="W58" s="532"/>
      <c r="Y58" s="276" t="b">
        <v>1</v>
      </c>
    </row>
    <row r="59" spans="2:25" ht="26.1" hidden="1" customHeight="1" x14ac:dyDescent="0.2">
      <c r="B59" s="532"/>
      <c r="C59" s="541"/>
      <c r="D59" s="542"/>
      <c r="E59" s="545" t="s">
        <v>549</v>
      </c>
      <c r="F59" s="542"/>
      <c r="G59" s="542"/>
      <c r="H59" s="542"/>
      <c r="I59" s="542"/>
      <c r="J59" s="542"/>
      <c r="K59" s="542"/>
      <c r="L59" s="542"/>
      <c r="M59" s="542"/>
      <c r="N59" s="542"/>
      <c r="O59" s="542"/>
      <c r="P59" s="542"/>
      <c r="Q59" s="542"/>
      <c r="R59" s="542"/>
      <c r="S59" s="542"/>
      <c r="T59" s="542"/>
      <c r="U59" s="542"/>
      <c r="V59" s="543"/>
      <c r="W59" s="532"/>
      <c r="Y59" s="627" t="b">
        <f>Y54</f>
        <v>0</v>
      </c>
    </row>
    <row r="60" spans="2:25" ht="26.1" hidden="1" customHeight="1" x14ac:dyDescent="0.2">
      <c r="B60" s="532"/>
      <c r="C60" s="541"/>
      <c r="D60" s="542"/>
      <c r="E60" s="545" t="s">
        <v>475</v>
      </c>
      <c r="F60" s="542"/>
      <c r="G60" s="542"/>
      <c r="H60" s="542"/>
      <c r="I60" s="542"/>
      <c r="J60" s="542"/>
      <c r="K60" s="542"/>
      <c r="L60" s="542"/>
      <c r="M60" s="542"/>
      <c r="N60" s="542"/>
      <c r="O60" s="542"/>
      <c r="P60" s="542"/>
      <c r="Q60" s="542"/>
      <c r="R60" s="542"/>
      <c r="S60" s="542"/>
      <c r="T60" s="542"/>
      <c r="U60" s="542"/>
      <c r="V60" s="543"/>
      <c r="W60" s="532"/>
      <c r="Y60" s="627" t="b">
        <f>Y54</f>
        <v>0</v>
      </c>
    </row>
    <row r="61" spans="2:25" ht="26.1" hidden="1" customHeight="1" x14ac:dyDescent="0.2">
      <c r="B61" s="532"/>
      <c r="C61" s="541"/>
      <c r="D61" s="542"/>
      <c r="E61" s="545" t="s">
        <v>478</v>
      </c>
      <c r="F61" s="542"/>
      <c r="G61" s="542"/>
      <c r="H61" s="542"/>
      <c r="I61" s="542"/>
      <c r="J61" s="542"/>
      <c r="K61" s="542"/>
      <c r="L61" s="542"/>
      <c r="M61" s="542"/>
      <c r="N61" s="542"/>
      <c r="O61" s="542"/>
      <c r="P61" s="542"/>
      <c r="Q61" s="542"/>
      <c r="R61" s="542"/>
      <c r="S61" s="542"/>
      <c r="T61" s="542"/>
      <c r="U61" s="542"/>
      <c r="V61" s="543"/>
      <c r="W61" s="532"/>
      <c r="Y61" s="533" t="b">
        <f>Y54</f>
        <v>0</v>
      </c>
    </row>
    <row r="62" spans="2:25" ht="26.1" customHeight="1" x14ac:dyDescent="0.2">
      <c r="B62" s="532"/>
      <c r="C62" s="541"/>
      <c r="D62" s="542"/>
      <c r="E62" s="545" t="s">
        <v>476</v>
      </c>
      <c r="F62" s="542"/>
      <c r="G62" s="542"/>
      <c r="H62" s="542"/>
      <c r="I62" s="542"/>
      <c r="J62" s="542"/>
      <c r="K62" s="542"/>
      <c r="L62" s="542"/>
      <c r="M62" s="542"/>
      <c r="N62" s="542"/>
      <c r="O62" s="542"/>
      <c r="P62" s="542"/>
      <c r="Q62" s="542"/>
      <c r="R62" s="542"/>
      <c r="S62" s="542"/>
      <c r="T62" s="542"/>
      <c r="U62" s="542"/>
      <c r="V62" s="543"/>
      <c r="W62" s="532"/>
      <c r="Y62" s="276" t="b">
        <v>1</v>
      </c>
    </row>
    <row r="63" spans="2:25" ht="14.25" customHeight="1" x14ac:dyDescent="0.2">
      <c r="B63" s="25"/>
      <c r="C63" s="182"/>
      <c r="D63" s="183"/>
      <c r="E63" s="183"/>
      <c r="F63" s="183"/>
      <c r="G63" s="183"/>
      <c r="H63" s="183"/>
      <c r="I63" s="183"/>
      <c r="J63" s="183"/>
      <c r="K63" s="183"/>
      <c r="L63" s="183"/>
      <c r="M63" s="183"/>
      <c r="N63" s="183"/>
      <c r="O63" s="183"/>
      <c r="P63" s="183"/>
      <c r="Q63" s="183"/>
      <c r="R63" s="183"/>
      <c r="S63" s="183"/>
      <c r="T63" s="183"/>
      <c r="U63" s="183"/>
      <c r="V63" s="184"/>
      <c r="W63" s="26"/>
      <c r="Y63" s="276" t="b">
        <v>1</v>
      </c>
    </row>
    <row r="64" spans="2:25" x14ac:dyDescent="0.2">
      <c r="B64" s="27"/>
      <c r="C64" s="28"/>
      <c r="D64" s="28"/>
      <c r="E64" s="28"/>
      <c r="F64" s="28"/>
      <c r="G64" s="28"/>
      <c r="H64" s="28"/>
      <c r="I64" s="28"/>
      <c r="J64" s="28"/>
      <c r="K64" s="28"/>
      <c r="L64" s="28"/>
      <c r="M64" s="28"/>
      <c r="N64" s="28"/>
      <c r="O64" s="28"/>
      <c r="P64" s="28"/>
      <c r="Q64" s="28"/>
      <c r="R64" s="28"/>
      <c r="S64" s="28"/>
      <c r="T64" s="28"/>
      <c r="U64" s="28"/>
      <c r="V64" s="28"/>
      <c r="W64" s="29"/>
      <c r="Y64" s="276" t="b">
        <v>1</v>
      </c>
    </row>
  </sheetData>
  <sheetProtection algorithmName="SHA-512" hashValue="Ab0sLmwCvIT07d/0nqH3Vnh+gt2B/en68XJ7ek+Ordc0SnGa07EavSzaRsVxmttQSltMgAh37oII5QQESQbpaw==" saltValue="L0sx/xnqTRtGGsEH5bKeiQ==" spinCount="100000" sheet="1" objects="1" scenarios="1"/>
  <mergeCells count="7">
    <mergeCell ref="M42:N42"/>
    <mergeCell ref="M44:N44"/>
    <mergeCell ref="M46:N46"/>
    <mergeCell ref="D10:U10"/>
    <mergeCell ref="C6:F6"/>
    <mergeCell ref="G6:R7"/>
    <mergeCell ref="C7:F7"/>
  </mergeCells>
  <printOptions horizontalCentered="1"/>
  <pageMargins left="0.59055118110236227" right="0.59055118110236227" top="0.78740157480314965" bottom="0.78740157480314965" header="0.19685039370078741" footer="0.19685039370078741"/>
  <pageSetup paperSize="9" scale="79" orientation="portrait" r:id="rId1"/>
  <customProperties>
    <customPr name="_pios_id" r:id="rId2"/>
  </customProperties>
  <drawing r:id="rId3"/>
  <legacyDrawing r:id="rId4"/>
  <controls>
    <mc:AlternateContent xmlns:mc="http://schemas.openxmlformats.org/markup-compatibility/2006">
      <mc:Choice Requires="x14">
        <control shapeId="2062" r:id="rId5" name="helpGrunddaten">
          <controlPr defaultSize="0" autoLine="0" r:id="rId6">
            <anchor moveWithCells="1">
              <from>
                <xdr:col>3</xdr:col>
                <xdr:colOff>9525</xdr:colOff>
                <xdr:row>56</xdr:row>
                <xdr:rowOff>38100</xdr:rowOff>
              </from>
              <to>
                <xdr:col>3</xdr:col>
                <xdr:colOff>257175</xdr:colOff>
                <xdr:row>56</xdr:row>
                <xdr:rowOff>285750</xdr:rowOff>
              </to>
            </anchor>
          </controlPr>
        </control>
      </mc:Choice>
      <mc:Fallback>
        <control shapeId="2062" r:id="rId5" name="helpGrunddaten"/>
      </mc:Fallback>
    </mc:AlternateContent>
    <mc:AlternateContent xmlns:mc="http://schemas.openxmlformats.org/markup-compatibility/2006">
      <mc:Choice Requires="x14">
        <control shapeId="2061" r:id="rId7" name="helpHilfe">
          <controlPr defaultSize="0" autoLine="0" r:id="rId8">
            <anchor moveWithCells="1">
              <from>
                <xdr:col>3</xdr:col>
                <xdr:colOff>9525</xdr:colOff>
                <xdr:row>57</xdr:row>
                <xdr:rowOff>38100</xdr:rowOff>
              </from>
              <to>
                <xdr:col>3</xdr:col>
                <xdr:colOff>257175</xdr:colOff>
                <xdr:row>57</xdr:row>
                <xdr:rowOff>285750</xdr:rowOff>
              </to>
            </anchor>
          </controlPr>
        </control>
      </mc:Choice>
      <mc:Fallback>
        <control shapeId="2061" r:id="rId7" name="helpHilfe"/>
      </mc:Fallback>
    </mc:AlternateContent>
    <mc:AlternateContent xmlns:mc="http://schemas.openxmlformats.org/markup-compatibility/2006">
      <mc:Choice Requires="x14">
        <control shapeId="2060" r:id="rId9" name="helpReset">
          <controlPr defaultSize="0" autoLine="0" r:id="rId10">
            <anchor moveWithCells="1">
              <from>
                <xdr:col>3</xdr:col>
                <xdr:colOff>9525</xdr:colOff>
                <xdr:row>61</xdr:row>
                <xdr:rowOff>38100</xdr:rowOff>
              </from>
              <to>
                <xdr:col>3</xdr:col>
                <xdr:colOff>257175</xdr:colOff>
                <xdr:row>61</xdr:row>
                <xdr:rowOff>285750</xdr:rowOff>
              </to>
            </anchor>
          </controlPr>
        </control>
      </mc:Choice>
      <mc:Fallback>
        <control shapeId="2060" r:id="rId9" name="helpReset"/>
      </mc:Fallback>
    </mc:AlternateContent>
    <mc:AlternateContent xmlns:mc="http://schemas.openxmlformats.org/markup-compatibility/2006">
      <mc:Choice Requires="x14">
        <control shapeId="2059" r:id="rId11" name="helpBerechnung">
          <controlPr defaultSize="0" autoFill="0" autoLine="0" r:id="rId12">
            <anchor moveWithCells="1">
              <from>
                <xdr:col>3</xdr:col>
                <xdr:colOff>9525</xdr:colOff>
                <xdr:row>61</xdr:row>
                <xdr:rowOff>38100</xdr:rowOff>
              </from>
              <to>
                <xdr:col>3</xdr:col>
                <xdr:colOff>257175</xdr:colOff>
                <xdr:row>61</xdr:row>
                <xdr:rowOff>285750</xdr:rowOff>
              </to>
            </anchor>
          </controlPr>
        </control>
      </mc:Choice>
      <mc:Fallback>
        <control shapeId="2059" r:id="rId11" name="helpBerechnung"/>
      </mc:Fallback>
    </mc:AlternateContent>
    <mc:AlternateContent xmlns:mc="http://schemas.openxmlformats.org/markup-compatibility/2006">
      <mc:Choice Requires="x14">
        <control shapeId="2058" r:id="rId13" name="helpAusdruck">
          <controlPr defaultSize="0" autoLine="0" r:id="rId14">
            <anchor moveWithCells="1">
              <from>
                <xdr:col>3</xdr:col>
                <xdr:colOff>9525</xdr:colOff>
                <xdr:row>61</xdr:row>
                <xdr:rowOff>38100</xdr:rowOff>
              </from>
              <to>
                <xdr:col>3</xdr:col>
                <xdr:colOff>257175</xdr:colOff>
                <xdr:row>61</xdr:row>
                <xdr:rowOff>285750</xdr:rowOff>
              </to>
            </anchor>
          </controlPr>
        </control>
      </mc:Choice>
      <mc:Fallback>
        <control shapeId="2058" r:id="rId13" name="helpAusdruck"/>
      </mc:Fallback>
    </mc:AlternateContent>
    <mc:AlternateContent xmlns:mc="http://schemas.openxmlformats.org/markup-compatibility/2006">
      <mc:Choice Requires="x14">
        <control shapeId="2057" r:id="rId15" name="helpInformation">
          <controlPr defaultSize="0" autoLine="0" r:id="rId16">
            <anchor moveWithCells="1">
              <from>
                <xdr:col>3</xdr:col>
                <xdr:colOff>9525</xdr:colOff>
                <xdr:row>56</xdr:row>
                <xdr:rowOff>38100</xdr:rowOff>
              </from>
              <to>
                <xdr:col>3</xdr:col>
                <xdr:colOff>257175</xdr:colOff>
                <xdr:row>56</xdr:row>
                <xdr:rowOff>285750</xdr:rowOff>
              </to>
            </anchor>
          </controlPr>
        </control>
      </mc:Choice>
      <mc:Fallback>
        <control shapeId="2057" r:id="rId15" name="helpInformation"/>
      </mc:Fallback>
    </mc:AlternateContent>
    <mc:AlternateContent xmlns:mc="http://schemas.openxmlformats.org/markup-compatibility/2006">
      <mc:Choice Requires="x14">
        <control shapeId="2056" r:id="rId17" name="helpStartseite">
          <controlPr defaultSize="0" autoLine="0" r:id="rId18">
            <anchor moveWithCells="1">
              <from>
                <xdr:col>3</xdr:col>
                <xdr:colOff>9525</xdr:colOff>
                <xdr:row>54</xdr:row>
                <xdr:rowOff>38100</xdr:rowOff>
              </from>
              <to>
                <xdr:col>3</xdr:col>
                <xdr:colOff>257175</xdr:colOff>
                <xdr:row>54</xdr:row>
                <xdr:rowOff>285750</xdr:rowOff>
              </to>
            </anchor>
          </controlPr>
        </control>
      </mc:Choice>
      <mc:Fallback>
        <control shapeId="2056" r:id="rId17" name="helpStartseite"/>
      </mc:Fallback>
    </mc:AlternateContent>
    <mc:AlternateContent xmlns:mc="http://schemas.openxmlformats.org/markup-compatibility/2006">
      <mc:Choice Requires="x14">
        <control shapeId="2055" r:id="rId19" name="helpVersionen">
          <controlPr defaultSize="0" autoLine="0" r:id="rId20">
            <anchor moveWithCells="1">
              <from>
                <xdr:col>3</xdr:col>
                <xdr:colOff>9525</xdr:colOff>
                <xdr:row>54</xdr:row>
                <xdr:rowOff>38100</xdr:rowOff>
              </from>
              <to>
                <xdr:col>3</xdr:col>
                <xdr:colOff>257175</xdr:colOff>
                <xdr:row>54</xdr:row>
                <xdr:rowOff>285750</xdr:rowOff>
              </to>
            </anchor>
          </controlPr>
        </control>
      </mc:Choice>
      <mc:Fallback>
        <control shapeId="2055" r:id="rId19" name="helpVersionen"/>
      </mc:Fallback>
    </mc:AlternateContent>
    <mc:AlternateContent xmlns:mc="http://schemas.openxmlformats.org/markup-compatibility/2006">
      <mc:Choice Requires="x14">
        <control shapeId="2054" r:id="rId21" name="cmdProg_Versionen">
          <controlPr defaultSize="0" print="0" autoLine="0" r:id="rId20">
            <anchor moveWithCells="1">
              <from>
                <xdr:col>22</xdr:col>
                <xdr:colOff>0</xdr:colOff>
                <xdr:row>5</xdr:row>
                <xdr:rowOff>57150</xdr:rowOff>
              </from>
              <to>
                <xdr:col>23</xdr:col>
                <xdr:colOff>38100</xdr:colOff>
                <xdr:row>6</xdr:row>
                <xdr:rowOff>114300</xdr:rowOff>
              </to>
            </anchor>
          </controlPr>
        </control>
      </mc:Choice>
      <mc:Fallback>
        <control shapeId="2054" r:id="rId21" name="cmdProg_Versionen"/>
      </mc:Fallback>
    </mc:AlternateContent>
    <mc:AlternateContent xmlns:mc="http://schemas.openxmlformats.org/markup-compatibility/2006">
      <mc:Choice Requires="x14">
        <control shapeId="2050" r:id="rId22" name="cmdBerechnung">
          <controlPr defaultSize="0" print="0" autoLine="0" r:id="rId23">
            <anchor moveWithCells="1">
              <from>
                <xdr:col>1</xdr:col>
                <xdr:colOff>0</xdr:colOff>
                <xdr:row>5</xdr:row>
                <xdr:rowOff>57150</xdr:rowOff>
              </from>
              <to>
                <xdr:col>2</xdr:col>
                <xdr:colOff>38100</xdr:colOff>
                <xdr:row>6</xdr:row>
                <xdr:rowOff>114300</xdr:rowOff>
              </to>
            </anchor>
          </controlPr>
        </control>
      </mc:Choice>
      <mc:Fallback>
        <control shapeId="2050" r:id="rId22" name="cmdBerechnung"/>
      </mc:Fallback>
    </mc:AlternateContent>
    <mc:AlternateContent xmlns:mc="http://schemas.openxmlformats.org/markup-compatibility/2006">
      <mc:Choice Requires="x14">
        <control shapeId="2051" r:id="rId24" name="cmdGrunddaten">
          <controlPr defaultSize="0" print="0" autoLine="0" r:id="rId6">
            <anchor moveWithCells="1">
              <from>
                <xdr:col>22</xdr:col>
                <xdr:colOff>0</xdr:colOff>
                <xdr:row>5</xdr:row>
                <xdr:rowOff>57150</xdr:rowOff>
              </from>
              <to>
                <xdr:col>23</xdr:col>
                <xdr:colOff>38100</xdr:colOff>
                <xdr:row>6</xdr:row>
                <xdr:rowOff>114300</xdr:rowOff>
              </to>
            </anchor>
          </controlPr>
        </control>
      </mc:Choice>
      <mc:Fallback>
        <control shapeId="2051" r:id="rId24" name="cmdGrunddaten"/>
      </mc:Fallback>
    </mc:AlternateContent>
    <mc:AlternateContent xmlns:mc="http://schemas.openxmlformats.org/markup-compatibility/2006">
      <mc:Choice Requires="x14">
        <control shapeId="2052" r:id="rId25" name="cmdInfo">
          <controlPr defaultSize="0" print="0" autoLine="0" r:id="rId16">
            <anchor moveWithCells="1">
              <from>
                <xdr:col>1</xdr:col>
                <xdr:colOff>0</xdr:colOff>
                <xdr:row>5</xdr:row>
                <xdr:rowOff>57150</xdr:rowOff>
              </from>
              <to>
                <xdr:col>2</xdr:col>
                <xdr:colOff>38100</xdr:colOff>
                <xdr:row>6</xdr:row>
                <xdr:rowOff>114300</xdr:rowOff>
              </to>
            </anchor>
          </controlPr>
        </control>
      </mc:Choice>
      <mc:Fallback>
        <control shapeId="2052" r:id="rId25" name="cmdInfo"/>
      </mc:Fallback>
    </mc:AlternateContent>
    <mc:AlternateContent xmlns:mc="http://schemas.openxmlformats.org/markup-compatibility/2006">
      <mc:Choice Requires="x14">
        <control shapeId="2063" r:id="rId26" name="helpBackups">
          <controlPr defaultSize="0" autoFill="0" autoLine="0" r:id="rId27">
            <anchor moveWithCells="1">
              <from>
                <xdr:col>3</xdr:col>
                <xdr:colOff>9525</xdr:colOff>
                <xdr:row>61</xdr:row>
                <xdr:rowOff>38100</xdr:rowOff>
              </from>
              <to>
                <xdr:col>3</xdr:col>
                <xdr:colOff>257175</xdr:colOff>
                <xdr:row>61</xdr:row>
                <xdr:rowOff>285750</xdr:rowOff>
              </to>
            </anchor>
          </controlPr>
        </control>
      </mc:Choice>
      <mc:Fallback>
        <control shapeId="2063" r:id="rId26" name="helpBackups"/>
      </mc:Fallback>
    </mc:AlternateContent>
    <mc:AlternateContent xmlns:mc="http://schemas.openxmlformats.org/markup-compatibility/2006">
      <mc:Choice Requires="x14">
        <control shapeId="2049" r:id="rId28" name="Button 1">
          <controlPr defaultSize="0" autoFill="0" autoPict="0" macro="[0]!Dialog_Berechnung_MWB_FR">
            <anchor moveWithCells="1" sizeWithCells="1">
              <from>
                <xdr:col>3</xdr:col>
                <xdr:colOff>9525</xdr:colOff>
                <xdr:row>49</xdr:row>
                <xdr:rowOff>9525</xdr:rowOff>
              </from>
              <to>
                <xdr:col>21</xdr:col>
                <xdr:colOff>0</xdr:colOff>
                <xdr:row>51</xdr:row>
                <xdr:rowOff>9525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02">
    <pageSetUpPr autoPageBreaks="0" fitToPage="1"/>
  </sheetPr>
  <dimension ref="A1:AG159"/>
  <sheetViews>
    <sheetView showGridLines="0" showRowColHeaders="0" tabSelected="1" zoomScaleNormal="100" workbookViewId="0">
      <pane ySplit="12" topLeftCell="A13" activePane="bottomLeft" state="frozen"/>
      <selection pane="bottomLeft" activeCell="A4" sqref="A4"/>
    </sheetView>
  </sheetViews>
  <sheetFormatPr baseColWidth="10" defaultColWidth="11" defaultRowHeight="12.75" customHeight="1" x14ac:dyDescent="0.2"/>
  <cols>
    <col min="1" max="1" width="4.625" style="1" customWidth="1"/>
    <col min="2" max="2" width="2.625" style="1" customWidth="1"/>
    <col min="3" max="3" width="2.625" style="16" customWidth="1"/>
    <col min="4" max="4" width="7.625" style="1" customWidth="1"/>
    <col min="5" max="5" width="8.625" style="1" customWidth="1"/>
    <col min="6" max="6" width="9.625" style="1" customWidth="1"/>
    <col min="7" max="7" width="8.625" style="1" customWidth="1"/>
    <col min="8" max="8" width="1.625" style="1" customWidth="1"/>
    <col min="9" max="9" width="4.625" style="16" customWidth="1"/>
    <col min="10" max="10" width="7.625" style="1" customWidth="1"/>
    <col min="11" max="11" width="6.625" style="1" customWidth="1"/>
    <col min="12" max="12" width="12.625" style="1" customWidth="1"/>
    <col min="13" max="13" width="1.625" style="16" customWidth="1"/>
    <col min="14" max="14" width="5.625" style="1" customWidth="1"/>
    <col min="15" max="15" width="2.625" style="1" customWidth="1"/>
    <col min="16" max="17" width="5.625" style="1" customWidth="1"/>
    <col min="18" max="18" width="6.625" style="1" customWidth="1"/>
    <col min="19" max="19" width="5.625" style="1" customWidth="1"/>
    <col min="20" max="20" width="2.625" style="1" customWidth="1"/>
    <col min="21" max="21" width="5.625" style="16" customWidth="1"/>
    <col min="22" max="22" width="6.625" style="1" customWidth="1"/>
    <col min="23" max="23" width="2.625" style="1" customWidth="1"/>
    <col min="24" max="24" width="5.625" style="1" customWidth="1"/>
    <col min="25" max="26" width="2.625" style="429" customWidth="1"/>
    <col min="27" max="27" width="4.625" style="1" customWidth="1"/>
    <col min="28" max="28" width="10.625" style="210" hidden="1" customWidth="1"/>
    <col min="29" max="29" width="4.625" style="12" hidden="1" customWidth="1"/>
    <col min="30" max="32" width="20.625" style="16" hidden="1" customWidth="1"/>
    <col min="33" max="33" width="4.625" style="12" hidden="1" customWidth="1"/>
    <col min="34" max="16384" width="11" style="12"/>
  </cols>
  <sheetData>
    <row r="1" spans="1:32" s="14" customFormat="1" ht="14.1" hidden="1" customHeight="1" x14ac:dyDescent="0.2">
      <c r="A1" s="68"/>
      <c r="B1" s="549" t="s">
        <v>80</v>
      </c>
      <c r="C1" s="549" t="s">
        <v>80</v>
      </c>
      <c r="D1" s="549">
        <f>COLUMN()</f>
        <v>4</v>
      </c>
      <c r="E1" s="549" t="s">
        <v>80</v>
      </c>
      <c r="F1" s="549" t="s">
        <v>80</v>
      </c>
      <c r="G1" s="549">
        <f>D1</f>
        <v>4</v>
      </c>
      <c r="H1" s="549" t="s">
        <v>80</v>
      </c>
      <c r="I1" s="549">
        <f>D1</f>
        <v>4</v>
      </c>
      <c r="J1" s="549">
        <f>D1</f>
        <v>4</v>
      </c>
      <c r="K1" s="549">
        <f>D1</f>
        <v>4</v>
      </c>
      <c r="L1" s="549">
        <f>D1</f>
        <v>4</v>
      </c>
      <c r="M1" s="549" t="s">
        <v>80</v>
      </c>
      <c r="N1" s="549" t="s">
        <v>80</v>
      </c>
      <c r="O1" s="549" t="s">
        <v>80</v>
      </c>
      <c r="P1" s="549">
        <f>COLUMN()</f>
        <v>16</v>
      </c>
      <c r="Q1" s="549">
        <f>D1</f>
        <v>4</v>
      </c>
      <c r="R1" s="549" t="s">
        <v>80</v>
      </c>
      <c r="S1" s="549">
        <f>D1</f>
        <v>4</v>
      </c>
      <c r="T1" s="549" t="s">
        <v>80</v>
      </c>
      <c r="U1" s="549">
        <f>COLUMN()</f>
        <v>21</v>
      </c>
      <c r="V1" s="549">
        <f>P1</f>
        <v>16</v>
      </c>
      <c r="W1" s="549" t="s">
        <v>80</v>
      </c>
      <c r="X1" s="549" t="s">
        <v>80</v>
      </c>
      <c r="Y1" s="549" t="s">
        <v>80</v>
      </c>
      <c r="Z1" s="549" t="s">
        <v>80</v>
      </c>
      <c r="AA1" s="68"/>
      <c r="AB1" s="208" t="b">
        <v>0</v>
      </c>
      <c r="AD1" s="68"/>
      <c r="AE1" s="68"/>
      <c r="AF1" s="68"/>
    </row>
    <row r="2" spans="1:32" s="333" customFormat="1" ht="14.1" hidden="1" customHeight="1" x14ac:dyDescent="0.2">
      <c r="A2" s="332"/>
      <c r="B2" s="549" t="s">
        <v>80</v>
      </c>
      <c r="C2" s="549" t="s">
        <v>80</v>
      </c>
      <c r="D2" s="549">
        <f>D1</f>
        <v>4</v>
      </c>
      <c r="E2" s="549" t="s">
        <v>80</v>
      </c>
      <c r="F2" s="549" t="s">
        <v>80</v>
      </c>
      <c r="G2" s="549">
        <f>G1</f>
        <v>4</v>
      </c>
      <c r="H2" s="549" t="s">
        <v>80</v>
      </c>
      <c r="I2" s="549">
        <f>I1</f>
        <v>4</v>
      </c>
      <c r="J2" s="549">
        <f>J1</f>
        <v>4</v>
      </c>
      <c r="K2" s="549">
        <f>K1</f>
        <v>4</v>
      </c>
      <c r="L2" s="549">
        <f>L1</f>
        <v>4</v>
      </c>
      <c r="M2" s="549" t="s">
        <v>80</v>
      </c>
      <c r="N2" s="549" t="s">
        <v>80</v>
      </c>
      <c r="O2" s="549" t="s">
        <v>80</v>
      </c>
      <c r="P2" s="549">
        <f>P1</f>
        <v>16</v>
      </c>
      <c r="Q2" s="549">
        <f>Q1</f>
        <v>4</v>
      </c>
      <c r="R2" s="549" t="s">
        <v>80</v>
      </c>
      <c r="S2" s="549">
        <f>S1</f>
        <v>4</v>
      </c>
      <c r="T2" s="549" t="s">
        <v>80</v>
      </c>
      <c r="U2" s="549">
        <f>COLUMN()</f>
        <v>21</v>
      </c>
      <c r="V2" s="549">
        <f>D1</f>
        <v>4</v>
      </c>
      <c r="W2" s="549" t="s">
        <v>80</v>
      </c>
      <c r="X2" s="549" t="s">
        <v>80</v>
      </c>
      <c r="Y2" s="549" t="s">
        <v>80</v>
      </c>
      <c r="Z2" s="549" t="s">
        <v>80</v>
      </c>
      <c r="AA2" s="332"/>
      <c r="AB2" s="208" t="b">
        <v>0</v>
      </c>
      <c r="AD2" s="332"/>
      <c r="AE2" s="332"/>
      <c r="AF2" s="332"/>
    </row>
    <row r="3" spans="1:32" ht="18" hidden="1" customHeight="1" x14ac:dyDescent="0.2">
      <c r="B3" s="592"/>
      <c r="C3" s="592"/>
      <c r="D3" s="592"/>
      <c r="E3" s="592"/>
      <c r="F3" s="592"/>
      <c r="G3" s="592"/>
      <c r="H3" s="592"/>
      <c r="I3" s="592"/>
      <c r="J3" s="592"/>
      <c r="K3" s="592"/>
      <c r="L3" s="592"/>
      <c r="M3" s="592"/>
      <c r="N3" s="592"/>
      <c r="O3" s="592"/>
      <c r="P3" s="592"/>
      <c r="Q3" s="592"/>
      <c r="R3" s="592"/>
      <c r="S3" s="592"/>
      <c r="T3" s="592"/>
      <c r="U3" s="592"/>
      <c r="V3" s="592"/>
      <c r="W3" s="592"/>
      <c r="X3" s="592"/>
      <c r="Y3" s="592"/>
      <c r="Z3" s="592"/>
      <c r="AB3" s="339" t="b">
        <f>IF(B4="",FALSE,TRUE)</f>
        <v>0</v>
      </c>
    </row>
    <row r="4" spans="1:32" ht="18" customHeight="1" x14ac:dyDescent="0.2">
      <c r="B4" s="1220" t="str">
        <f>IF(AND(Daten!$M$3=TRUE,Daten!$U$3=FALSE),"Achtung: Es findet keine automatische Neuberechnung des Förderdarlehens (Maßnahme) statt; bitte nutzen Sie die entsprechende Schaltfläche für eine Neuberechnung!","")</f>
        <v/>
      </c>
      <c r="C4" s="1220"/>
      <c r="D4" s="1220"/>
      <c r="E4" s="1220"/>
      <c r="F4" s="1220"/>
      <c r="G4" s="1220"/>
      <c r="H4" s="1220"/>
      <c r="I4" s="1220"/>
      <c r="J4" s="1220"/>
      <c r="K4" s="1220"/>
      <c r="L4" s="1220"/>
      <c r="M4" s="1220"/>
      <c r="N4" s="1220"/>
      <c r="O4" s="1220"/>
      <c r="P4" s="1220"/>
      <c r="Q4" s="1220"/>
      <c r="R4" s="1220"/>
      <c r="S4" s="1220"/>
      <c r="T4" s="1220"/>
      <c r="U4" s="1220"/>
      <c r="V4" s="1220"/>
      <c r="W4" s="1220"/>
      <c r="X4" s="1220"/>
      <c r="Y4" s="1220"/>
      <c r="Z4" s="1220"/>
      <c r="AB4" s="208" t="b">
        <v>1</v>
      </c>
    </row>
    <row r="5" spans="1:32" ht="12.75" customHeight="1" x14ac:dyDescent="0.2">
      <c r="B5" s="2"/>
      <c r="C5" s="3"/>
      <c r="D5" s="3"/>
      <c r="E5" s="3"/>
      <c r="F5" s="3"/>
      <c r="G5" s="3"/>
      <c r="H5" s="3"/>
      <c r="I5" s="191"/>
      <c r="J5" s="3"/>
      <c r="K5" s="3"/>
      <c r="L5" s="3"/>
      <c r="M5" s="191"/>
      <c r="N5" s="3"/>
      <c r="O5" s="3"/>
      <c r="P5" s="3"/>
      <c r="Q5" s="3"/>
      <c r="R5" s="3"/>
      <c r="S5" s="3"/>
      <c r="T5" s="3"/>
      <c r="U5" s="191"/>
      <c r="V5" s="3"/>
      <c r="W5" s="3"/>
      <c r="X5" s="3"/>
      <c r="Y5" s="434"/>
      <c r="Z5" s="430"/>
      <c r="AB5" s="208" t="b">
        <v>1</v>
      </c>
    </row>
    <row r="6" spans="1:32" ht="15" customHeight="1" x14ac:dyDescent="0.2">
      <c r="B6" s="4"/>
      <c r="C6" s="1187" t="str">
        <f ca="1">Programmversionen!J5</f>
        <v xml:space="preserve">Version: 24.03 </v>
      </c>
      <c r="D6" s="1188"/>
      <c r="E6" s="1188"/>
      <c r="F6" s="1188"/>
      <c r="G6" s="449"/>
      <c r="H6" s="1089" t="str">
        <f>"Förderrechner - Mietwohnraumförderung"</f>
        <v>Förderrechner - Mietwohnraumförderung</v>
      </c>
      <c r="I6" s="1089"/>
      <c r="J6" s="1089"/>
      <c r="K6" s="1089"/>
      <c r="L6" s="1089"/>
      <c r="M6" s="1089"/>
      <c r="N6" s="1089"/>
      <c r="O6" s="1089"/>
      <c r="P6" s="1089"/>
      <c r="Q6" s="1089"/>
      <c r="R6" s="449"/>
      <c r="S6" s="449"/>
      <c r="T6" s="449"/>
      <c r="U6" s="195"/>
      <c r="V6" s="5"/>
      <c r="W6" s="5"/>
      <c r="X6" s="5"/>
      <c r="Y6" s="435"/>
      <c r="Z6" s="431"/>
      <c r="AB6" s="208" t="b">
        <v>1</v>
      </c>
      <c r="AD6" s="763" t="s">
        <v>667</v>
      </c>
      <c r="AE6" s="1008" t="s">
        <v>803</v>
      </c>
    </row>
    <row r="7" spans="1:32" ht="15" customHeight="1" x14ac:dyDescent="0.2">
      <c r="B7" s="4"/>
      <c r="C7" s="1189">
        <f ca="1">Programmversionen!B5</f>
        <v>45322</v>
      </c>
      <c r="D7" s="1190"/>
      <c r="E7" s="1190"/>
      <c r="F7" s="1190"/>
      <c r="G7" s="450"/>
      <c r="H7" s="1090"/>
      <c r="I7" s="1090"/>
      <c r="J7" s="1090"/>
      <c r="K7" s="1090"/>
      <c r="L7" s="1090"/>
      <c r="M7" s="1090"/>
      <c r="N7" s="1090"/>
      <c r="O7" s="1090"/>
      <c r="P7" s="1090"/>
      <c r="Q7" s="1090"/>
      <c r="R7" s="450"/>
      <c r="S7" s="450"/>
      <c r="T7" s="450"/>
      <c r="U7" s="196"/>
      <c r="V7" s="6"/>
      <c r="W7" s="6"/>
      <c r="X7" s="6"/>
      <c r="Y7" s="436"/>
      <c r="Z7" s="431"/>
      <c r="AB7" s="208" t="b">
        <v>1</v>
      </c>
      <c r="AD7" s="1056" t="b">
        <f>Daten!$J$2</f>
        <v>0</v>
      </c>
      <c r="AE7" s="1056" t="b">
        <f>Daten!L17</f>
        <v>1</v>
      </c>
    </row>
    <row r="8" spans="1:32" ht="12.75" customHeight="1" x14ac:dyDescent="0.2">
      <c r="B8" s="4"/>
      <c r="C8" s="956" t="s">
        <v>21</v>
      </c>
      <c r="D8" s="957"/>
      <c r="E8" s="958"/>
      <c r="F8" s="958"/>
      <c r="G8" s="959"/>
      <c r="H8" s="959"/>
      <c r="I8" s="959"/>
      <c r="J8" s="959"/>
      <c r="K8" s="959"/>
      <c r="L8" s="959"/>
      <c r="M8" s="959"/>
      <c r="N8" s="959"/>
      <c r="O8" s="959"/>
      <c r="P8" s="959"/>
      <c r="Q8" s="959"/>
      <c r="R8" s="959"/>
      <c r="S8" s="959"/>
      <c r="T8" s="959"/>
      <c r="U8" s="959"/>
      <c r="V8" s="960"/>
      <c r="W8" s="960"/>
      <c r="X8" s="960"/>
      <c r="Y8" s="961"/>
      <c r="Z8" s="431"/>
      <c r="AB8" s="208" t="b">
        <v>1</v>
      </c>
    </row>
    <row r="9" spans="1:32" ht="15.95" customHeight="1" x14ac:dyDescent="0.2">
      <c r="B9" s="4"/>
      <c r="C9" s="962"/>
      <c r="D9" s="963" t="s">
        <v>26</v>
      </c>
      <c r="E9" s="958"/>
      <c r="F9" s="958"/>
      <c r="G9" s="964"/>
      <c r="H9" s="965"/>
      <c r="I9" s="966" t="s">
        <v>230</v>
      </c>
      <c r="J9" s="68"/>
      <c r="K9" s="68"/>
      <c r="L9" s="961"/>
      <c r="M9" s="959"/>
      <c r="N9" s="963" t="s">
        <v>231</v>
      </c>
      <c r="O9" s="68"/>
      <c r="P9" s="68"/>
      <c r="Q9" s="68"/>
      <c r="R9" s="68"/>
      <c r="S9" s="888"/>
      <c r="T9" s="965"/>
      <c r="U9" s="963" t="str">
        <f>IF(OR(Daten!$L$16=TRUE,Daten!$L$17=TRUE),"Solo-Förderung Aufzug","")</f>
        <v>Solo-Förderung Aufzug</v>
      </c>
      <c r="V9" s="963"/>
      <c r="W9" s="963"/>
      <c r="X9" s="963"/>
      <c r="Y9" s="961"/>
      <c r="Z9" s="431"/>
      <c r="AB9" s="208" t="b">
        <v>1</v>
      </c>
      <c r="AD9" s="880" t="s">
        <v>744</v>
      </c>
      <c r="AE9" s="1008" t="s">
        <v>802</v>
      </c>
    </row>
    <row r="10" spans="1:32" ht="18" customHeight="1" x14ac:dyDescent="0.2">
      <c r="B10" s="4"/>
      <c r="C10" s="967"/>
      <c r="D10" s="968" t="str">
        <f>IF(Daten!$M$5=TRUE,"Keine Auswahl möglich!",IF(Daten!$O$75=TRUE,"Ohne Verlängerung Belegungsbindung",""))</f>
        <v>Keine Auswahl möglich!</v>
      </c>
      <c r="E10" s="969"/>
      <c r="F10" s="969"/>
      <c r="G10" s="970"/>
      <c r="H10" s="971"/>
      <c r="I10" s="968" t="str">
        <f>IF(Daten!$O$77=TRUE,"Ohne Verlängerung Belegungsbindung","")</f>
        <v>Ohne Verlängerung Belegungsbindung</v>
      </c>
      <c r="J10" s="972"/>
      <c r="K10" s="972"/>
      <c r="L10" s="970"/>
      <c r="M10" s="973"/>
      <c r="N10" s="968" t="str">
        <f>IF(Daten!$O$79=TRUE,"Ohne Verlängerung "&amp;IF(Daten!$M$79=TRUE,"Belegungsb.","Belegungsbindung"),"")</f>
        <v>Ohne Verlängerung Belegungsbindung</v>
      </c>
      <c r="O10" s="972"/>
      <c r="P10" s="972"/>
      <c r="Q10" s="972"/>
      <c r="R10" s="972"/>
      <c r="S10" s="974"/>
      <c r="T10" s="971"/>
      <c r="U10" s="968" t="str">
        <f>IF(Daten!O81=TRUE,"Nachträglicher "&amp;IF(Daten!M81=TRUE,"Aufzug","Aufzugsanbau"),"")</f>
        <v>Nachträglicher Aufzugsanbau</v>
      </c>
      <c r="V10" s="975"/>
      <c r="W10" s="975"/>
      <c r="X10" s="975"/>
      <c r="Y10" s="970"/>
      <c r="Z10" s="431"/>
      <c r="AB10" s="208" t="b">
        <v>1</v>
      </c>
      <c r="AD10" s="1056" t="b">
        <f>IF(Daten!$D$50&lt;=0,TRUE,FALSE)</f>
        <v>1</v>
      </c>
      <c r="AE10" s="1056" t="b">
        <f>IF(Daten!$L$71=Daten!$M$71,TRUE,FALSE)</f>
        <v>0</v>
      </c>
    </row>
    <row r="11" spans="1:32" ht="18" customHeight="1" x14ac:dyDescent="0.2">
      <c r="A11" s="16"/>
      <c r="B11" s="99"/>
      <c r="C11" s="976"/>
      <c r="D11" s="968" t="str">
        <f>IF(Daten!$M$5=TRUE,"Angepasste Version für LBV!",IF(Daten!$O$76=TRUE,"ZUSCHUSS: Verlängerung "&amp;IF(Daten!M76=TRUE,"Belegungsb.","Belegungsbindung"),""))</f>
        <v>Angepasste Version für LBV!</v>
      </c>
      <c r="E11" s="969"/>
      <c r="F11" s="969"/>
      <c r="G11" s="973"/>
      <c r="H11" s="977"/>
      <c r="I11" s="968" t="str">
        <f>IF(Daten!$O$78=TRUE,"ZUSCHUSS: Verlängerung "&amp;IF(Daten!$M$78=TRUE,"Belegungsb.","Belegungsbindung"),"")</f>
        <v>ZUSCHUSS: Verlängerung Belegungsbindung</v>
      </c>
      <c r="J11" s="972"/>
      <c r="K11" s="972"/>
      <c r="L11" s="973"/>
      <c r="M11" s="978"/>
      <c r="N11" s="979" t="str">
        <f>IF(Daten!$O$80=TRUE,"ZUSCHUSS: Verlängerung "&amp;IF(Daten!$M$80=TRUE,"Belegungsb.","Belegungsbindung"),"")</f>
        <v>ZUSCHUSS: Verlängerung Belegungsbindung</v>
      </c>
      <c r="O11" s="972"/>
      <c r="P11" s="972"/>
      <c r="Q11" s="972"/>
      <c r="R11" s="972"/>
      <c r="S11" s="974"/>
      <c r="T11" s="973"/>
      <c r="U11" s="980"/>
      <c r="V11" s="975"/>
      <c r="W11" s="975"/>
      <c r="X11" s="981" t="str">
        <f>"Richtlinie vom "&amp;TEXT(Daten!J12,"TT.MM.JJJJ")</f>
        <v>Richtlinie vom 01.12.2023</v>
      </c>
      <c r="Y11" s="970"/>
      <c r="Z11" s="431"/>
      <c r="AA11" s="16"/>
      <c r="AB11" s="208" t="b">
        <v>1</v>
      </c>
    </row>
    <row r="12" spans="1:32" ht="15.95" customHeight="1" x14ac:dyDescent="0.2">
      <c r="B12" s="4"/>
      <c r="C12" s="982"/>
      <c r="D12" s="983" t="str">
        <f>IF(OR(Daten!M83="",Daten!M83=0),"Bitte wählen Sie zuerst die Maßnahmeart aus!",IF(Daten!L71&lt;&gt;Daten!M71,"Bitte nutzen Sie den Hilfedialog (obere Schaltfläche mit "&amp;CHAR(34)&amp;"?"&amp;CHAR(34)&amp;") für weitere Informationen zu den noch fehlenden oder nicht plausibel getätigten Eingaben!",""))</f>
        <v>Bitte nutzen Sie den Hilfedialog (obere Schaltfläche mit "?") für weitere Informationen zu den noch fehlenden oder nicht plausibel getätigten Eingaben!</v>
      </c>
      <c r="E12" s="983"/>
      <c r="F12" s="983"/>
      <c r="G12" s="983"/>
      <c r="H12" s="983"/>
      <c r="I12" s="983"/>
      <c r="J12" s="983"/>
      <c r="K12" s="983"/>
      <c r="L12" s="983"/>
      <c r="M12" s="983"/>
      <c r="N12" s="984"/>
      <c r="O12" s="983"/>
      <c r="P12" s="983"/>
      <c r="Q12" s="983"/>
      <c r="R12" s="983"/>
      <c r="S12" s="983"/>
      <c r="T12" s="983"/>
      <c r="U12" s="983"/>
      <c r="V12" s="983"/>
      <c r="W12" s="983"/>
      <c r="X12" s="985" t="str">
        <f>Startseite!U9</f>
        <v/>
      </c>
      <c r="Y12" s="986"/>
      <c r="Z12" s="431"/>
      <c r="AB12" s="208" t="b">
        <v>1</v>
      </c>
      <c r="AD12" s="1219" t="s">
        <v>812</v>
      </c>
      <c r="AE12" s="1219"/>
      <c r="AF12" s="1219"/>
    </row>
    <row r="13" spans="1:32" s="200" customFormat="1" ht="18" customHeight="1" x14ac:dyDescent="0.2">
      <c r="A13" s="197"/>
      <c r="B13" s="198"/>
      <c r="C13" s="201" t="s">
        <v>25</v>
      </c>
      <c r="D13" s="202"/>
      <c r="E13" s="202"/>
      <c r="F13" s="202"/>
      <c r="G13" s="202"/>
      <c r="H13" s="202"/>
      <c r="I13" s="202"/>
      <c r="J13" s="202"/>
      <c r="K13" s="202"/>
      <c r="L13" s="202"/>
      <c r="M13" s="202"/>
      <c r="N13" s="202"/>
      <c r="O13" s="202"/>
      <c r="P13" s="202"/>
      <c r="Q13" s="202"/>
      <c r="R13" s="202"/>
      <c r="S13" s="202"/>
      <c r="T13" s="202"/>
      <c r="U13" s="202"/>
      <c r="V13" s="202"/>
      <c r="W13" s="202"/>
      <c r="X13" s="202"/>
      <c r="Y13" s="437"/>
      <c r="Z13" s="432"/>
      <c r="AA13" s="197"/>
      <c r="AB13" s="208" t="b">
        <v>1</v>
      </c>
      <c r="AD13" s="1002" t="s">
        <v>811</v>
      </c>
      <c r="AE13" s="1015">
        <f>IF(Daten!$L$17=TRUE,O21,Grunddaten!$H$69)</f>
        <v>45</v>
      </c>
      <c r="AF13" s="939" t="b">
        <f>IF(Daten!$L$17=TRUE,IF(OR(AE13&lt;Grunddaten!$H$69,AE13&lt;0),FALSE,TRUE),TRUE)</f>
        <v>1</v>
      </c>
    </row>
    <row r="14" spans="1:32" ht="15" customHeight="1" x14ac:dyDescent="0.2">
      <c r="B14" s="4"/>
      <c r="C14" s="130"/>
      <c r="D14" s="888" t="s">
        <v>705</v>
      </c>
      <c r="E14" s="888"/>
      <c r="F14" s="888"/>
      <c r="G14" s="1205"/>
      <c r="H14" s="1205"/>
      <c r="I14" s="1205"/>
      <c r="J14" s="1205"/>
      <c r="K14" s="1205"/>
      <c r="L14" s="1205"/>
      <c r="M14" s="1205"/>
      <c r="N14" s="1205"/>
      <c r="O14" s="1205"/>
      <c r="P14" s="1205"/>
      <c r="Q14" s="1205"/>
      <c r="R14" s="1205"/>
      <c r="S14" s="1205"/>
      <c r="T14" s="987"/>
      <c r="U14" s="987"/>
      <c r="V14" s="1203" t="s">
        <v>461</v>
      </c>
      <c r="W14" s="1203"/>
      <c r="X14" s="1203"/>
      <c r="Y14" s="425"/>
      <c r="Z14" s="431"/>
      <c r="AB14" s="208" t="b">
        <v>1</v>
      </c>
      <c r="AD14" s="1002" t="s">
        <v>809</v>
      </c>
      <c r="AE14" s="1015">
        <f>IF(Daten!$L$17=TRUE,S21,Grunddaten!$H$70)</f>
        <v>30</v>
      </c>
      <c r="AF14" s="1016" t="b">
        <f>IF(Daten!$L$17=TRUE,IF(OR(SUM($AE$13:$AE$15)&gt;100,AE13&lt;0,AE14&lt;0,AE15&lt;0),FALSE,TRUE),TRUE)</f>
        <v>1</v>
      </c>
    </row>
    <row r="15" spans="1:32" ht="15" customHeight="1" x14ac:dyDescent="0.2">
      <c r="B15" s="4"/>
      <c r="C15" s="130"/>
      <c r="D15" s="888" t="s">
        <v>232</v>
      </c>
      <c r="E15" s="888"/>
      <c r="F15" s="888"/>
      <c r="G15" s="1205"/>
      <c r="H15" s="1205"/>
      <c r="I15" s="1205"/>
      <c r="J15" s="1205"/>
      <c r="K15" s="1205"/>
      <c r="L15" s="1205"/>
      <c r="M15" s="1205"/>
      <c r="N15" s="1205"/>
      <c r="O15" s="1205"/>
      <c r="P15" s="1205"/>
      <c r="Q15" s="1205"/>
      <c r="R15" s="1205"/>
      <c r="S15" s="1205"/>
      <c r="T15" s="987"/>
      <c r="U15" s="987"/>
      <c r="V15" s="1204" t="s">
        <v>144</v>
      </c>
      <c r="W15" s="1204"/>
      <c r="X15" s="1204"/>
      <c r="Y15" s="425"/>
      <c r="Z15" s="431"/>
      <c r="AB15" s="208" t="b">
        <v>1</v>
      </c>
      <c r="AD15" s="1002" t="s">
        <v>810</v>
      </c>
      <c r="AE15" s="1015">
        <f>IF(Daten!$L$17=TRUE,MAX(0,100-AE13-AE14),Grunddaten!$H$71)</f>
        <v>25</v>
      </c>
      <c r="AF15" s="939" t="b">
        <f>IF(Daten!$L$17=TRUE,IF(OR($AE$13&lt;&gt;Grunddaten!$H$69,$AE$14&lt;&gt;Grunddaten!$H$70),TRUE,FALSE),FALSE)</f>
        <v>0</v>
      </c>
    </row>
    <row r="16" spans="1:32" ht="8.1" customHeight="1" x14ac:dyDescent="0.2">
      <c r="B16" s="4"/>
      <c r="C16" s="130"/>
      <c r="D16" s="888"/>
      <c r="E16" s="888"/>
      <c r="F16" s="888"/>
      <c r="G16" s="888"/>
      <c r="H16" s="888"/>
      <c r="I16" s="888"/>
      <c r="J16" s="888"/>
      <c r="K16" s="888"/>
      <c r="L16" s="888"/>
      <c r="M16" s="888"/>
      <c r="N16" s="888"/>
      <c r="O16" s="888"/>
      <c r="P16" s="888"/>
      <c r="Q16" s="888"/>
      <c r="R16" s="888"/>
      <c r="S16" s="888"/>
      <c r="T16" s="888"/>
      <c r="U16" s="888"/>
      <c r="V16" s="888"/>
      <c r="W16" s="888"/>
      <c r="X16" s="888"/>
      <c r="Y16" s="425"/>
      <c r="Z16" s="431"/>
      <c r="AB16" s="208" t="b">
        <v>1</v>
      </c>
    </row>
    <row r="17" spans="1:32" ht="15" customHeight="1" x14ac:dyDescent="0.2">
      <c r="B17" s="4"/>
      <c r="C17" s="130"/>
      <c r="D17" s="888" t="s">
        <v>573</v>
      </c>
      <c r="E17" s="888"/>
      <c r="F17" s="888"/>
      <c r="G17" s="888"/>
      <c r="H17" s="888"/>
      <c r="I17" s="888"/>
      <c r="J17" s="888"/>
      <c r="K17" s="1199"/>
      <c r="L17" s="1199"/>
      <c r="M17" s="888"/>
      <c r="N17" s="1202" t="str">
        <f>IF(OR(Daten!$M$83="",Daten!$M$83=0),"",IF(Daten!$L$17=TRUE,"","Mindestens ")&amp;TEXT(Daten!$D$87,"#0")&amp;" % der geförderten WE unterliegen der Belegungsbindung!")</f>
        <v>100 % der geförderten WE unterliegen der Belegungsbindung!</v>
      </c>
      <c r="O17" s="1202"/>
      <c r="P17" s="1202"/>
      <c r="Q17" s="1202"/>
      <c r="R17" s="1202"/>
      <c r="S17" s="1202"/>
      <c r="T17" s="1202"/>
      <c r="U17" s="1202"/>
      <c r="V17" s="1202"/>
      <c r="W17" s="1202"/>
      <c r="X17" s="1202"/>
      <c r="Y17" s="425"/>
      <c r="Z17" s="431"/>
      <c r="AB17" s="208" t="b">
        <v>1</v>
      </c>
    </row>
    <row r="18" spans="1:32" ht="15" customHeight="1" x14ac:dyDescent="0.2">
      <c r="B18" s="4"/>
      <c r="C18" s="130"/>
      <c r="D18" s="888" t="s">
        <v>233</v>
      </c>
      <c r="E18" s="888"/>
      <c r="F18" s="888"/>
      <c r="G18" s="888"/>
      <c r="H18" s="888"/>
      <c r="I18" s="888"/>
      <c r="J18" s="888"/>
      <c r="K18" s="1200"/>
      <c r="L18" s="1200"/>
      <c r="M18" s="888"/>
      <c r="N18" s="1249" t="str">
        <f>Daten!X28</f>
        <v>Die Bindungen orientieren sich an den Einkommensgrenzen des §22 (2) BbgWoFG, unter welche mindestens 45,00% der WE direkt fallen (1. EK-Grenze). In der Regel gilt für 30,00% der WE diese Einkommensgrenze zzgl. 40% (2. EK-Grenze) und für die verbleibenden 25,00% gilt die Einkommensgrenze zzgl. 60% (3. EK-Grenze).</v>
      </c>
      <c r="O18" s="1249"/>
      <c r="P18" s="1249"/>
      <c r="Q18" s="1249"/>
      <c r="R18" s="1249"/>
      <c r="S18" s="1249"/>
      <c r="T18" s="1249"/>
      <c r="U18" s="1249"/>
      <c r="V18" s="1249"/>
      <c r="W18" s="1249"/>
      <c r="X18" s="1249"/>
      <c r="Y18" s="425"/>
      <c r="Z18" s="431"/>
      <c r="AB18" s="208" t="b">
        <v>1</v>
      </c>
    </row>
    <row r="19" spans="1:32" ht="15" customHeight="1" x14ac:dyDescent="0.2">
      <c r="B19" s="4"/>
      <c r="C19" s="130"/>
      <c r="D19" s="888" t="s">
        <v>234</v>
      </c>
      <c r="E19" s="888"/>
      <c r="F19" s="888"/>
      <c r="G19" s="888"/>
      <c r="H19" s="888"/>
      <c r="I19" s="888"/>
      <c r="J19" s="888"/>
      <c r="K19" s="1201"/>
      <c r="L19" s="1201"/>
      <c r="M19" s="888"/>
      <c r="N19" s="1249"/>
      <c r="O19" s="1249"/>
      <c r="P19" s="1249"/>
      <c r="Q19" s="1249"/>
      <c r="R19" s="1249"/>
      <c r="S19" s="1249"/>
      <c r="T19" s="1249"/>
      <c r="U19" s="1249"/>
      <c r="V19" s="1249"/>
      <c r="W19" s="1249"/>
      <c r="X19" s="1249"/>
      <c r="Y19" s="425"/>
      <c r="Z19" s="431"/>
      <c r="AB19" s="208" t="b">
        <v>1</v>
      </c>
      <c r="AD19" s="1241" t="s">
        <v>709</v>
      </c>
      <c r="AE19" s="1241"/>
      <c r="AF19" s="1241"/>
    </row>
    <row r="20" spans="1:32" ht="15" customHeight="1" x14ac:dyDescent="0.2">
      <c r="B20" s="4"/>
      <c r="C20" s="130"/>
      <c r="D20" s="888" t="s">
        <v>235</v>
      </c>
      <c r="E20" s="888"/>
      <c r="F20" s="888"/>
      <c r="G20" s="888"/>
      <c r="H20" s="888"/>
      <c r="I20" s="888"/>
      <c r="J20" s="1054" t="str">
        <f>IF(OR(Daten!$M$79=TRUE,Daten!$M$80=TRUE,Daten!$M$81=TRUE,K20="",K20=0,I40="",I40=0),"","≙ "&amp;TEXT(I40/K20,"#.##0,00")&amp;" € / m² ")</f>
        <v/>
      </c>
      <c r="K20" s="1201"/>
      <c r="L20" s="1201"/>
      <c r="M20" s="888"/>
      <c r="N20" s="1249"/>
      <c r="O20" s="1249"/>
      <c r="P20" s="1249"/>
      <c r="Q20" s="1249"/>
      <c r="R20" s="1249"/>
      <c r="S20" s="1249"/>
      <c r="T20" s="1249"/>
      <c r="U20" s="1249"/>
      <c r="V20" s="1249"/>
      <c r="W20" s="1249"/>
      <c r="X20" s="1249"/>
      <c r="Y20" s="425"/>
      <c r="Z20" s="431"/>
      <c r="AB20" s="208" t="b">
        <v>1</v>
      </c>
      <c r="AD20" s="832" t="s">
        <v>708</v>
      </c>
      <c r="AE20" s="833" t="s">
        <v>711</v>
      </c>
      <c r="AF20" s="834" t="s">
        <v>712</v>
      </c>
    </row>
    <row r="21" spans="1:32" ht="15" customHeight="1" x14ac:dyDescent="0.2">
      <c r="A21" s="16"/>
      <c r="B21" s="99"/>
      <c r="C21" s="131"/>
      <c r="D21" s="888" t="str">
        <f>IF(AND(OR(Daten!$L$16=TRUE,Daten!$L$17=TRUE),Daten!$M$81=TRUE),"",IF(AND(OR(Daten!$L$16=TRUE,Daten!$L$17=TRUE),Daten!$M$81=FALSE),"Inanspruchnahme Aufzugsförderung:","Aufzug im Förderobjekt vorhanden:"))</f>
        <v>Inanspruchnahme Aufzugsförderung:</v>
      </c>
      <c r="E21" s="888"/>
      <c r="F21" s="888"/>
      <c r="G21" s="888"/>
      <c r="H21" s="888"/>
      <c r="I21" s="888"/>
      <c r="J21" s="888"/>
      <c r="K21" s="1199"/>
      <c r="L21" s="1199"/>
      <c r="M21" s="888"/>
      <c r="N21" s="1014" t="str">
        <f>IF(Daten!$L$17=TRUE,"1. EK:","")</f>
        <v>1. EK:</v>
      </c>
      <c r="O21" s="1207">
        <f>Grunddaten!$H$69</f>
        <v>45</v>
      </c>
      <c r="P21" s="1208"/>
      <c r="Q21" s="1012"/>
      <c r="R21" s="1012" t="str">
        <f>IF(Daten!$L$17=TRUE,"2. EK:","")</f>
        <v>2. EK:</v>
      </c>
      <c r="S21" s="1207">
        <f>Grunddaten!$H$70</f>
        <v>30</v>
      </c>
      <c r="T21" s="1208"/>
      <c r="U21" s="1013"/>
      <c r="V21" s="974" t="str">
        <f>IF(Daten!$L$17=TRUE,"3. EK:","")</f>
        <v>3. EK:</v>
      </c>
      <c r="W21" s="1206">
        <f>IF(AE15&gt;100,"-",AE15)</f>
        <v>25</v>
      </c>
      <c r="X21" s="1206"/>
      <c r="Y21" s="425"/>
      <c r="Z21" s="431"/>
      <c r="AA21" s="16"/>
      <c r="AB21" s="209" t="b">
        <f>IF(AND(OR(Daten!$L$16=TRUE,Daten!$L$17=TRUE),OR(Daten!$L$17=TRUE,AND(Daten!$L$16=TRUE,Daten!$M$81=FALSE))),TRUE,FALSE)</f>
        <v>1</v>
      </c>
      <c r="AD21" s="835" t="s">
        <v>706</v>
      </c>
      <c r="AE21" s="836">
        <f>IF(J30=0,0,IF(OR($J$34&gt;0,$K$21="Ja",$G$70="Ja"),IF(AND($K$21="Nein",$K$21="Ja",$L$34&lt;&gt;"",$L$34&gt;0),$L$34,IF($G$70="Ja",$K$19,IF($J$34&lt;&gt;$J$30,$K$19/$J$30*$J$34,$K$19))),0))</f>
        <v>0</v>
      </c>
      <c r="AF21" s="838">
        <f ca="1">Daten!D80</f>
        <v>10.61</v>
      </c>
    </row>
    <row r="22" spans="1:32" ht="15" hidden="1" customHeight="1" x14ac:dyDescent="0.2">
      <c r="A22" s="16"/>
      <c r="B22" s="99"/>
      <c r="C22" s="131"/>
      <c r="D22" s="888" t="str">
        <f>IF(Daten!$L$16=FALSE,"",IF(Daten!$M$3=TRUE,"Erreichter Förderstandard "&amp;CHAR(34)&amp;"Klimabaustein"&amp;CHAR(34)&amp;":","Erreichung Mindeststandard "&amp;CHAR(34)&amp;"Klimabaustein"&amp;CHAR(34)&amp;":"))</f>
        <v/>
      </c>
      <c r="E22" s="888"/>
      <c r="F22" s="888"/>
      <c r="G22" s="888"/>
      <c r="H22" s="888"/>
      <c r="I22" s="888"/>
      <c r="J22" s="888"/>
      <c r="K22" s="1235"/>
      <c r="L22" s="1236"/>
      <c r="M22" s="888"/>
      <c r="N22" s="988" t="str">
        <f>IF(OR($K$22="",Daten!$L$16=FALSE),"",IF(AND(Daten!$M$3=TRUE,Daten!$Q$89&lt;&gt;Daten!$Q$75,OR(Daten!$M$77=TRUE,Daten!$M$78=TRUE)),"Fördergegenstand:   ",""))</f>
        <v/>
      </c>
      <c r="O22" s="989"/>
      <c r="P22" s="68"/>
      <c r="Q22" s="1248"/>
      <c r="R22" s="1248"/>
      <c r="S22" s="1248"/>
      <c r="T22" s="1248"/>
      <c r="U22" s="1248"/>
      <c r="V22" s="1248"/>
      <c r="W22" s="1248"/>
      <c r="X22" s="990" t="str">
        <f>IF(OR($N$22="",Daten!$M$3=FALSE,$AB$22=FALSE,Daten!$R$86=FALSE),"",IF(AND(Q22&lt;&gt;"",Daten!$R$90=TRUE),"a",IF(Daten!$Q$89=Daten!$Q$75,"","r")))</f>
        <v/>
      </c>
      <c r="Y22" s="425"/>
      <c r="Z22" s="431"/>
      <c r="AA22" s="16"/>
      <c r="AB22" s="656" t="b">
        <f>IF(AND(Daten!$L$16=TRUE,Daten!$M$81=FALSE,Daten!$R$86=TRUE),TRUE,FALSE)</f>
        <v>0</v>
      </c>
      <c r="AD22" s="835" t="s">
        <v>707</v>
      </c>
      <c r="AE22" s="836">
        <f>$K$19-$AE$21</f>
        <v>0</v>
      </c>
      <c r="AF22" s="838">
        <f ca="1">Daten!D81</f>
        <v>10.61</v>
      </c>
    </row>
    <row r="23" spans="1:32" ht="15.95" customHeight="1" x14ac:dyDescent="0.2">
      <c r="B23" s="4"/>
      <c r="C23" s="132"/>
      <c r="D23" s="133"/>
      <c r="E23" s="133"/>
      <c r="F23" s="133"/>
      <c r="G23" s="133"/>
      <c r="H23" s="133"/>
      <c r="I23" s="133"/>
      <c r="J23" s="133"/>
      <c r="K23" s="133"/>
      <c r="L23" s="133"/>
      <c r="M23" s="133"/>
      <c r="N23" s="991"/>
      <c r="O23" s="991"/>
      <c r="P23" s="991"/>
      <c r="Q23" s="991"/>
      <c r="R23" s="991"/>
      <c r="S23" s="991"/>
      <c r="T23" s="991"/>
      <c r="U23" s="991"/>
      <c r="V23" s="991"/>
      <c r="W23" s="991"/>
      <c r="X23" s="991"/>
      <c r="Y23" s="440"/>
      <c r="Z23" s="431"/>
      <c r="AB23" s="208" t="b">
        <v>1</v>
      </c>
      <c r="AD23" s="839" t="b">
        <f>IF(AND(AE21&gt;0,AE22&gt;0),TRUE,FALSE)</f>
        <v>0</v>
      </c>
      <c r="AE23" s="840">
        <f>AE21+AE22</f>
        <v>0</v>
      </c>
      <c r="AF23" s="841">
        <f ca="1">IF(AE23=0,(AF21+AF22)/2,(AE21*AF21+AE22*AF22)/AE23)</f>
        <v>10.61</v>
      </c>
    </row>
    <row r="24" spans="1:32" s="200" customFormat="1" ht="18" customHeight="1" x14ac:dyDescent="0.2">
      <c r="A24" s="197"/>
      <c r="B24" s="198"/>
      <c r="C24" s="201" t="s">
        <v>434</v>
      </c>
      <c r="D24" s="202"/>
      <c r="E24" s="202"/>
      <c r="F24" s="202"/>
      <c r="G24" s="202"/>
      <c r="H24" s="202"/>
      <c r="I24" s="202"/>
      <c r="J24" s="202"/>
      <c r="K24" s="202"/>
      <c r="L24" s="202"/>
      <c r="M24" s="202"/>
      <c r="N24" s="202"/>
      <c r="O24" s="202"/>
      <c r="P24" s="202"/>
      <c r="Q24" s="202"/>
      <c r="R24" s="202"/>
      <c r="S24" s="202"/>
      <c r="T24" s="202"/>
      <c r="U24" s="202"/>
      <c r="V24" s="202"/>
      <c r="W24" s="202"/>
      <c r="X24" s="202"/>
      <c r="Y24" s="437"/>
      <c r="Z24" s="432"/>
      <c r="AA24" s="197"/>
      <c r="AB24" s="208" t="b">
        <v>1</v>
      </c>
      <c r="AD24" s="835" t="s">
        <v>710</v>
      </c>
      <c r="AE24" s="837">
        <f>IF(Daten!L67&lt;&gt;Daten!M67,0,G69)</f>
        <v>0</v>
      </c>
      <c r="AF24" s="838">
        <f ca="1">Grunddaten!$P$90</f>
        <v>101.62</v>
      </c>
    </row>
    <row r="25" spans="1:32" s="200" customFormat="1" ht="15.95" customHeight="1" x14ac:dyDescent="0.2">
      <c r="A25" s="197"/>
      <c r="B25" s="198"/>
      <c r="C25" s="422" t="str">
        <f>IF(COUNTIF(Grunddaten!T65:T70,TRUE)&gt;0,"i","")</f>
        <v/>
      </c>
      <c r="D25" s="245" t="s">
        <v>99</v>
      </c>
      <c r="E25" s="246"/>
      <c r="F25" s="246"/>
      <c r="G25" s="1097" t="str">
        <f>IF(OR($K$17="",$K$18="",$K$19=""),"",IF($AF$130=TRUE,"Mindest WE / m²","Mindest m²"))</f>
        <v/>
      </c>
      <c r="H25" s="1097"/>
      <c r="I25" s="1097"/>
      <c r="J25" s="397" t="s">
        <v>377</v>
      </c>
      <c r="K25" s="246"/>
      <c r="L25" s="397" t="s">
        <v>415</v>
      </c>
      <c r="M25" s="222"/>
      <c r="N25" s="135"/>
      <c r="O25" s="135"/>
      <c r="P25" s="245" t="s">
        <v>141</v>
      </c>
      <c r="Q25" s="246"/>
      <c r="R25" s="246"/>
      <c r="S25" s="246"/>
      <c r="T25" s="246"/>
      <c r="U25" s="246" t="s">
        <v>845</v>
      </c>
      <c r="V25" s="1102" t="str">
        <f>IF(OR(L30="",L30=0),"",((L27*V27)+(L28*V28)+(L29*V29))/L30)</f>
        <v/>
      </c>
      <c r="W25" s="1102"/>
      <c r="X25" s="1102"/>
      <c r="Y25" s="428" t="str">
        <f>IF(OR(Y27&lt;&gt;"",Y28&lt;&gt;""),"i","")</f>
        <v/>
      </c>
      <c r="Z25" s="432"/>
      <c r="AA25" s="197"/>
      <c r="AB25" s="208" t="b">
        <v>1</v>
      </c>
    </row>
    <row r="26" spans="1:32" s="200" customFormat="1" ht="5.0999999999999996" customHeight="1" x14ac:dyDescent="0.2">
      <c r="A26" s="197"/>
      <c r="B26" s="243"/>
      <c r="C26" s="244"/>
      <c r="D26" s="135"/>
      <c r="E26" s="202"/>
      <c r="F26" s="202"/>
      <c r="G26" s="221"/>
      <c r="H26" s="221"/>
      <c r="I26" s="221"/>
      <c r="J26" s="242"/>
      <c r="K26" s="202"/>
      <c r="L26" s="242"/>
      <c r="M26" s="222"/>
      <c r="N26" s="135"/>
      <c r="O26" s="135"/>
      <c r="P26" s="135"/>
      <c r="Q26" s="202"/>
      <c r="R26" s="202"/>
      <c r="S26" s="202"/>
      <c r="T26" s="202"/>
      <c r="U26" s="202"/>
      <c r="V26" s="202"/>
      <c r="W26" s="220"/>
      <c r="X26" s="220"/>
      <c r="Y26" s="437"/>
      <c r="Z26" s="432"/>
      <c r="AA26" s="197"/>
      <c r="AB26" s="208" t="b">
        <v>1</v>
      </c>
      <c r="AD26" s="197"/>
      <c r="AE26" s="197"/>
      <c r="AF26" s="197"/>
    </row>
    <row r="27" spans="1:32" ht="14.1" customHeight="1" x14ac:dyDescent="0.2">
      <c r="B27" s="4"/>
      <c r="C27" s="423" t="str">
        <f>IF(Grunddaten!T69=TRUE,"i","")</f>
        <v/>
      </c>
      <c r="D27" s="129" t="s">
        <v>269</v>
      </c>
      <c r="E27" s="129"/>
      <c r="F27" s="129"/>
      <c r="G27" s="1098" t="str">
        <f>IF(OR($K$17="",$K$18="",$K$19=""),"",IF($AF$130=FALSE,"",TEXT(AE118,"#.##0")&amp;" WE / ")&amp;TEXT(AE136,"#.##0,00")&amp;" m² ")</f>
        <v/>
      </c>
      <c r="H27" s="1098"/>
      <c r="I27" s="1099"/>
      <c r="J27" s="481"/>
      <c r="K27" s="241">
        <f>IF(OR(J27="",J27=0,ISERROR(J27*100/$K$18)),0,ROUND(J27*100/$K$18,0))</f>
        <v>0</v>
      </c>
      <c r="L27" s="483"/>
      <c r="M27" s="1114">
        <f>IF(OR(L27="",L27=0,ISERROR(L27*100/$K$19)),0,L27*100/$K$19)</f>
        <v>0</v>
      </c>
      <c r="N27" s="1115"/>
      <c r="O27" s="140"/>
      <c r="P27" s="129" t="s">
        <v>267</v>
      </c>
      <c r="Q27" s="129"/>
      <c r="R27" s="141"/>
      <c r="S27" s="142"/>
      <c r="T27" s="143"/>
      <c r="U27" s="185" t="str">
        <f>IF($K$17="","","max. "&amp;TEXT(Daten!$D$95,"#.##0,00")&amp;" € / m² ")</f>
        <v/>
      </c>
      <c r="V27" s="1100"/>
      <c r="W27" s="1100"/>
      <c r="X27" s="1100"/>
      <c r="Y27" s="426" t="str">
        <f>IF(OR(Grunddaten!T74=TRUE,Grunddaten!T77=TRUE),"i","")</f>
        <v/>
      </c>
      <c r="Z27" s="431"/>
      <c r="AB27" s="208" t="b">
        <v>1</v>
      </c>
      <c r="AD27" s="1096" t="s">
        <v>495</v>
      </c>
      <c r="AE27" s="1096"/>
      <c r="AF27" s="1096"/>
    </row>
    <row r="28" spans="1:32" ht="14.1" customHeight="1" x14ac:dyDescent="0.2">
      <c r="B28" s="4"/>
      <c r="C28" s="423" t="str">
        <f>IF(Grunddaten!T70=TRUE,"i","")</f>
        <v/>
      </c>
      <c r="D28" s="129" t="s">
        <v>270</v>
      </c>
      <c r="E28" s="129"/>
      <c r="F28" s="129"/>
      <c r="G28" s="1098" t="str">
        <f>IF(OR($K$17="",$K$18="",$K$19=""),"",IF($AF$130=FALSE,"",TEXT(AE120,"#.##0")&amp;" WE / ")&amp;TEXT(AE138,"#.##0,00")&amp;" m² ")</f>
        <v/>
      </c>
      <c r="H28" s="1098"/>
      <c r="I28" s="1099"/>
      <c r="J28" s="482"/>
      <c r="K28" s="139">
        <f>IF(OR(J28="",J28=0,ISERROR(J28*100/$K$18)),0,ROUND(J28*100/$K$18,0))</f>
        <v>0</v>
      </c>
      <c r="L28" s="484"/>
      <c r="M28" s="1114">
        <f>IF(OR(L28="",L28=0,ISERROR(L28*100/$K$19)),0,L28*100/$K$19)</f>
        <v>0</v>
      </c>
      <c r="N28" s="1115"/>
      <c r="O28" s="140"/>
      <c r="P28" s="129" t="s">
        <v>267</v>
      </c>
      <c r="Q28" s="144"/>
      <c r="R28" s="129"/>
      <c r="S28" s="141"/>
      <c r="T28" s="143"/>
      <c r="U28" s="186" t="str">
        <f>IF($K$17="","","max. "&amp;TEXT(Daten!$D$97,"#.##0,00")&amp;" € / m² ")</f>
        <v/>
      </c>
      <c r="V28" s="1100"/>
      <c r="W28" s="1100"/>
      <c r="X28" s="1100"/>
      <c r="Y28" s="426" t="str">
        <f>IF(OR(Grunddaten!T75=TRUE,Grunddaten!T78=TRUE),"i","")</f>
        <v/>
      </c>
      <c r="Z28" s="431"/>
      <c r="AB28" s="208" t="b">
        <v>1</v>
      </c>
      <c r="AD28" s="552" t="s">
        <v>494</v>
      </c>
      <c r="AE28" s="675">
        <f>Daten!$D$56</f>
        <v>0</v>
      </c>
      <c r="AF28" s="552" t="s">
        <v>493</v>
      </c>
    </row>
    <row r="29" spans="1:32" ht="14.1" customHeight="1" x14ac:dyDescent="0.2">
      <c r="B29" s="4"/>
      <c r="C29" s="130"/>
      <c r="D29" s="129" t="str">
        <f>IF(Daten!L17=TRUE,"WE / m² für 3. EK-Grenze:","WE / m² ohne Belegungsbindung:")</f>
        <v>WE / m² für 3. EK-Grenze:</v>
      </c>
      <c r="E29" s="129"/>
      <c r="F29" s="129"/>
      <c r="G29" s="1087" t="str">
        <f>IF(OR($K$17="",$K$18="",$K$19=""),"",IF($AF$130=FALSE,"",TEXT(AE122,"#.##0")&amp;" WE / ")&amp;TEXT(AE140,"#.##0,00")&amp;" m² ")</f>
        <v/>
      </c>
      <c r="H29" s="1087"/>
      <c r="I29" s="1088"/>
      <c r="J29" s="330"/>
      <c r="K29" s="139">
        <f>IF(OR(J29="",J29=0,ISERROR(J29*100/$K$18)),0,ROUND(J29*100/$K$18,0))</f>
        <v>0</v>
      </c>
      <c r="L29" s="331"/>
      <c r="M29" s="1114">
        <f>IF(OR(L29="",L29=0,ISERROR(L29*100/$K$19)),0,L29*100/$K$19)</f>
        <v>0</v>
      </c>
      <c r="N29" s="1115"/>
      <c r="O29" s="140"/>
      <c r="P29" s="129" t="s">
        <v>267</v>
      </c>
      <c r="Q29" s="144"/>
      <c r="R29" s="129"/>
      <c r="S29" s="129"/>
      <c r="T29" s="143"/>
      <c r="U29" s="186" t="str">
        <f>IF($K$17="","",IF(Daten!L17=TRUE,"max. "&amp;TEXT(Daten!$D$99,"#.##0,00")&amp;" € / m² ","mögliche Marktmiete "))</f>
        <v/>
      </c>
      <c r="V29" s="1101"/>
      <c r="W29" s="1101"/>
      <c r="X29" s="1101"/>
      <c r="Y29" s="426"/>
      <c r="Z29" s="431"/>
      <c r="AB29" s="208" t="b">
        <v>1</v>
      </c>
      <c r="AD29" s="550" t="s">
        <v>489</v>
      </c>
      <c r="AE29" s="588">
        <f>Daten!$D$56</f>
        <v>0</v>
      </c>
      <c r="AF29" s="550" t="s">
        <v>487</v>
      </c>
    </row>
    <row r="30" spans="1:32" ht="14.1" customHeight="1" thickBot="1" x14ac:dyDescent="0.25">
      <c r="B30" s="4"/>
      <c r="C30" s="130"/>
      <c r="D30" s="137" t="s">
        <v>271</v>
      </c>
      <c r="E30" s="129"/>
      <c r="F30" s="1107"/>
      <c r="G30" s="1107"/>
      <c r="H30" s="1107"/>
      <c r="I30" s="192"/>
      <c r="J30" s="211">
        <f>IF(OR(Daten!L28&lt;&gt;Daten!M28,J27&lt;0,ISTEXT(J27),J28&lt;0,ISTEXT(J28),J29&lt;0,ISTEXT(J29)),0,SUM(J27:J29))</f>
        <v>0</v>
      </c>
      <c r="K30" s="189">
        <f>IF(OR(J30="",J30=0,ISERROR(J30*100/$K$18)),0,SUM(K27:K29))</f>
        <v>0</v>
      </c>
      <c r="L30" s="212">
        <f>IF(OR(Daten!L29&lt;&gt;Daten!M29,L27&lt;0,ISTEXT(L27),L28&lt;0,ISTEXT(L28),L29&lt;0,ISTEXT(L29)),0,SUM(L27:L29))</f>
        <v>0</v>
      </c>
      <c r="M30" s="1116">
        <f>IF(OR(L30="",L30=0,ISERROR(L30*100/$K$19)),0,SUM(M27:M29))</f>
        <v>0</v>
      </c>
      <c r="N30" s="1116"/>
      <c r="O30" s="145"/>
      <c r="P30" s="146"/>
      <c r="Q30" s="146"/>
      <c r="R30" s="146"/>
      <c r="S30" s="146"/>
      <c r="T30" s="146"/>
      <c r="U30" s="146"/>
      <c r="V30" s="147"/>
      <c r="W30" s="1109"/>
      <c r="X30" s="1110"/>
      <c r="Y30" s="425"/>
      <c r="Z30" s="431"/>
      <c r="AA30" s="7"/>
      <c r="AB30" s="208" t="b">
        <v>1</v>
      </c>
      <c r="AD30" s="550" t="s">
        <v>490</v>
      </c>
      <c r="AE30" s="551">
        <f ca="1">Daten!G50</f>
        <v>0</v>
      </c>
      <c r="AF30" s="550" t="s">
        <v>488</v>
      </c>
    </row>
    <row r="31" spans="1:32" ht="14.1" customHeight="1" thickTop="1" x14ac:dyDescent="0.2">
      <c r="B31" s="4"/>
      <c r="C31" s="130"/>
      <c r="D31" s="137"/>
      <c r="E31" s="129"/>
      <c r="F31" s="129"/>
      <c r="G31" s="129"/>
      <c r="H31" s="148"/>
      <c r="I31" s="148"/>
      <c r="J31" s="949" t="str">
        <f>AD129</f>
        <v/>
      </c>
      <c r="K31" s="149"/>
      <c r="L31" s="949" t="str">
        <f>AD147</f>
        <v/>
      </c>
      <c r="M31" s="136"/>
      <c r="N31" s="149"/>
      <c r="O31" s="150"/>
      <c r="P31" s="137" t="s">
        <v>268</v>
      </c>
      <c r="Q31" s="146"/>
      <c r="R31" s="146"/>
      <c r="S31" s="146"/>
      <c r="T31" s="146"/>
      <c r="U31" s="146"/>
      <c r="V31" s="1164"/>
      <c r="W31" s="1165"/>
      <c r="X31" s="1166"/>
      <c r="Y31" s="425"/>
      <c r="Z31" s="431"/>
      <c r="AB31" s="208" t="b">
        <v>1</v>
      </c>
      <c r="AD31" s="550" t="s">
        <v>491</v>
      </c>
      <c r="AE31" s="551">
        <f>Daten!G56</f>
        <v>0</v>
      </c>
      <c r="AF31" s="550" t="s">
        <v>485</v>
      </c>
    </row>
    <row r="32" spans="1:32" ht="14.1" customHeight="1" thickBot="1" x14ac:dyDescent="0.25">
      <c r="B32" s="4"/>
      <c r="C32" s="130"/>
      <c r="D32" s="213" t="s">
        <v>281</v>
      </c>
      <c r="E32" s="213"/>
      <c r="F32" s="213"/>
      <c r="G32" s="213"/>
      <c r="H32" s="213"/>
      <c r="I32" s="213"/>
      <c r="J32" s="214">
        <f>IF(OR(AND(J27="",J28="",AND(Daten!$L$17=TRUE,J29="")),J27&lt;0,ISTEXT(J27),J28&lt;0,ISTEXT(J28),ISTEXT(J29),J29&lt;0),0,IF(Daten!$L$17=TRUE,SUM(J27:J29),SUM(J27:J28)))</f>
        <v>0</v>
      </c>
      <c r="K32" s="215">
        <f>IF(OR(J32="",J32=0,ISERROR(J32*100/$K$18)),0,ROUND(J32*100/$K$18,0))</f>
        <v>0</v>
      </c>
      <c r="L32" s="216">
        <f>IF(OR(AND(L27="",L28="",AND(Daten!$L$17=TRUE,L29="")),L27&lt;0,ISTEXT(L27),L28&lt;0,ISTEXT(L28),L29&lt;0,ISTEXT(L29)),0,IF(Daten!$L$17=TRUE,SUM(L27:L29),SUM(L27:L28)))</f>
        <v>0</v>
      </c>
      <c r="M32" s="1115">
        <f>IF(OR(L32="",L32=0,ISERROR(L32*100/$K$19)),0,ROUND(L32*100/$K$19,0))</f>
        <v>0</v>
      </c>
      <c r="N32" s="1115"/>
      <c r="O32" s="140"/>
      <c r="P32" s="187" t="s">
        <v>587</v>
      </c>
      <c r="Q32" s="146"/>
      <c r="R32" s="146"/>
      <c r="S32" s="146"/>
      <c r="T32" s="146"/>
      <c r="U32" s="146"/>
      <c r="V32" s="129"/>
      <c r="W32" s="401"/>
      <c r="X32" s="402"/>
      <c r="Y32" s="425"/>
      <c r="Z32" s="431"/>
      <c r="AB32" s="208" t="b">
        <v>1</v>
      </c>
      <c r="AD32" s="550" t="s">
        <v>492</v>
      </c>
      <c r="AE32" s="551">
        <f>Daten!D55</f>
        <v>120</v>
      </c>
      <c r="AF32" s="550" t="s">
        <v>486</v>
      </c>
    </row>
    <row r="33" spans="1:32" ht="6" hidden="1" customHeight="1" thickTop="1" x14ac:dyDescent="0.2">
      <c r="A33" s="16"/>
      <c r="B33" s="99"/>
      <c r="C33" s="131"/>
      <c r="D33" s="213"/>
      <c r="E33" s="213"/>
      <c r="F33" s="213"/>
      <c r="G33" s="213"/>
      <c r="H33" s="213"/>
      <c r="I33" s="213"/>
      <c r="J33" s="217"/>
      <c r="K33" s="215"/>
      <c r="L33" s="218"/>
      <c r="M33" s="693"/>
      <c r="N33" s="694"/>
      <c r="O33" s="140"/>
      <c r="P33" s="187"/>
      <c r="Q33" s="146"/>
      <c r="R33" s="146"/>
      <c r="S33" s="146"/>
      <c r="T33" s="146"/>
      <c r="U33" s="146"/>
      <c r="V33" s="129"/>
      <c r="W33" s="166"/>
      <c r="X33" s="129"/>
      <c r="Y33" s="425"/>
      <c r="Z33" s="431"/>
      <c r="AA33" s="16"/>
      <c r="AB33" s="209" t="b">
        <f>IF(AND(OR(Daten!$L$16=TRUE,Daten!$L$17=TRUE),OR(Daten!$M$81=TRUE,Berechnung!$K$21="Ja")),TRUE,FALSE)</f>
        <v>0</v>
      </c>
    </row>
    <row r="34" spans="1:32" ht="14.1" customHeight="1" thickTop="1" x14ac:dyDescent="0.2">
      <c r="A34" s="16"/>
      <c r="B34" s="99"/>
      <c r="C34" s="131"/>
      <c r="D34" s="129" t="str">
        <f>IF(AND(OR(Daten!$L$16=TRUE,Daten!$L$17=TRUE),OR($K$21="Ja",Daten!$M$81=TRUE)),"Mit gefördertem Aufzug erreichbare WE:","")</f>
        <v/>
      </c>
      <c r="E34" s="129"/>
      <c r="F34" s="129"/>
      <c r="G34" s="888"/>
      <c r="H34" s="888"/>
      <c r="I34" s="888"/>
      <c r="J34" s="308"/>
      <c r="K34" s="139" t="str">
        <f>IF(AND(Daten!$L$16=TRUE,$K$21="Ja"),IF(OR(J34="",J34=0,ISERROR(J34*100/$K$18)),0,ROUND(J34*100/$K$18,0)),"")</f>
        <v/>
      </c>
      <c r="L34" s="765"/>
      <c r="M34" s="1115" t="str">
        <f>IF(AND(Daten!$L$16=TRUE,$K$21="Ja"),IF(OR(L34="",L34=0,ISERROR(L34*100/$K$19)),0,ROUND(L34*100/$K$19,0)),"")</f>
        <v/>
      </c>
      <c r="N34" s="1115"/>
      <c r="O34" s="140"/>
      <c r="P34" s="141"/>
      <c r="Q34" s="146"/>
      <c r="R34" s="146"/>
      <c r="S34" s="146"/>
      <c r="T34" s="146"/>
      <c r="U34" s="146"/>
      <c r="V34" s="129"/>
      <c r="W34" s="166"/>
      <c r="X34" s="129"/>
      <c r="Y34" s="425"/>
      <c r="Z34" s="431"/>
      <c r="AA34" s="16"/>
      <c r="AB34" s="208" t="b">
        <v>1</v>
      </c>
    </row>
    <row r="35" spans="1:32" ht="14.1" customHeight="1" thickBot="1" x14ac:dyDescent="0.25">
      <c r="B35" s="4"/>
      <c r="C35" s="130"/>
      <c r="D35" s="144" t="str">
        <f>IF(AND(OR(Daten!$L$16=TRUE,Daten!$L$17=TRUE),OR($K$21="Ja",Daten!$M$81=TRUE))," … davon durch Aufzug barrierefrei erreichbare WE:","")</f>
        <v/>
      </c>
      <c r="E35" s="129"/>
      <c r="F35" s="129"/>
      <c r="G35" s="888"/>
      <c r="H35" s="888"/>
      <c r="I35" s="888"/>
      <c r="J35" s="100"/>
      <c r="K35" s="139" t="str">
        <f>IF(AND(Daten!$L$16=TRUE,$K$21="Ja"),IF(OR(J35="",J35=0,ISERROR(J35*100/$K$18)),0,ROUND(J35*100/$K$18,0)),"")</f>
        <v/>
      </c>
      <c r="L35" s="765"/>
      <c r="M35" s="1115" t="str">
        <f>IF(AND(Daten!$L$16=TRUE,$K$21="Ja"),IF(OR(L35="",L35=0,ISERROR(L35*100/$K$19)),0,ROUND(L35*100/$K$19,0)),"")</f>
        <v/>
      </c>
      <c r="N35" s="1115"/>
      <c r="O35" s="129"/>
      <c r="P35" s="153" t="str">
        <f>UPPER("≙ Jährliche Gesamteinnahmen:")</f>
        <v>≙ JÄHRLICHE GESAMTEINNAHMEN:</v>
      </c>
      <c r="Q35" s="129"/>
      <c r="R35" s="129"/>
      <c r="S35" s="129"/>
      <c r="T35" s="129"/>
      <c r="U35" s="129"/>
      <c r="V35" s="1108">
        <f>IF(OR(Daten!L27&lt;&gt;Daten!M27,Daten!L28&lt;&gt;Daten!M28,Daten!L29&lt;&gt;Daten!M29,Daten!L36&lt;&gt;Daten!M36,Daten!L37&lt;&gt;Daten!M37,Daten!L38&lt;&gt;Daten!M38,Daten!L39&lt;&gt;Daten!M39,Daten!L42&lt;&gt;Daten!M42,Daten!L43&lt;&gt;Daten!M43,Daten!L44&lt;&gt;Daten!M44,Daten!L45&lt;&gt;Daten!M45),0,((V27*L27+V28*L28+V29*L29)*12)+V31)</f>
        <v>0</v>
      </c>
      <c r="W35" s="1108"/>
      <c r="X35" s="1108"/>
      <c r="Y35" s="425"/>
      <c r="Z35" s="431"/>
      <c r="AB35" s="208" t="b">
        <v>1</v>
      </c>
      <c r="AD35" s="1241" t="s">
        <v>716</v>
      </c>
      <c r="AE35" s="1241"/>
      <c r="AF35" s="1241"/>
    </row>
    <row r="36" spans="1:32" ht="15.95" customHeight="1" thickTop="1" x14ac:dyDescent="0.2">
      <c r="B36" s="4"/>
      <c r="C36" s="132"/>
      <c r="D36" s="133"/>
      <c r="E36" s="133"/>
      <c r="F36" s="133"/>
      <c r="G36" s="133"/>
      <c r="H36" s="133"/>
      <c r="I36" s="133"/>
      <c r="J36" s="133"/>
      <c r="K36" s="133"/>
      <c r="L36" s="133"/>
      <c r="M36" s="133"/>
      <c r="N36" s="133"/>
      <c r="O36" s="133"/>
      <c r="P36" s="133"/>
      <c r="Q36" s="133"/>
      <c r="R36" s="133"/>
      <c r="S36" s="133"/>
      <c r="T36" s="133"/>
      <c r="U36" s="133"/>
      <c r="V36" s="133"/>
      <c r="W36" s="133"/>
      <c r="X36" s="133"/>
      <c r="Y36" s="438"/>
      <c r="Z36" s="431"/>
      <c r="AB36" s="208" t="b">
        <v>1</v>
      </c>
      <c r="AD36" s="862" t="b">
        <v>1</v>
      </c>
      <c r="AE36" s="865" t="str">
        <f ca="1">IF(AD36=TRUE,"Mietausfallwagnis ("&amp;TEXT(Grunddaten!P91,"#.##0,00")&amp;"% p. a.)","")</f>
        <v>Mietausfallwagnis (2,00% p. a.)</v>
      </c>
      <c r="AF36" s="863"/>
    </row>
    <row r="37" spans="1:32" s="200" customFormat="1" ht="18" customHeight="1" x14ac:dyDescent="0.2">
      <c r="A37" s="197"/>
      <c r="B37" s="198"/>
      <c r="C37" s="201" t="s">
        <v>16</v>
      </c>
      <c r="D37" s="202"/>
      <c r="E37" s="202"/>
      <c r="F37" s="202"/>
      <c r="G37" s="202"/>
      <c r="H37" s="202"/>
      <c r="I37" s="202"/>
      <c r="J37" s="202"/>
      <c r="K37" s="202"/>
      <c r="L37" s="202"/>
      <c r="M37" s="202"/>
      <c r="N37" s="202"/>
      <c r="O37" s="202"/>
      <c r="P37" s="202"/>
      <c r="Q37" s="202"/>
      <c r="R37" s="202"/>
      <c r="S37" s="202"/>
      <c r="T37" s="202"/>
      <c r="U37" s="202"/>
      <c r="V37" s="202"/>
      <c r="W37" s="202"/>
      <c r="X37" s="202"/>
      <c r="Y37" s="437"/>
      <c r="Z37" s="432"/>
      <c r="AA37" s="197"/>
      <c r="AB37" s="208" t="b">
        <v>1</v>
      </c>
      <c r="AD37" s="862" t="b">
        <f ca="1">IF(AND(Grunddaten!$P$91&gt;0,Grunddaten!$P$92&gt;0),TRUE,FALSE)</f>
        <v>0</v>
      </c>
      <c r="AE37" s="865" t="str">
        <f ca="1">IF(AD37=TRUE," + Betriebskosten ("&amp;TEXT(Grunddaten!P92,"#.##0,00")&amp;" € / m² / Wfl. Leerstand p. m.):","")</f>
        <v/>
      </c>
      <c r="AF37" s="864"/>
    </row>
    <row r="38" spans="1:32" s="200" customFormat="1" ht="15.95" customHeight="1" x14ac:dyDescent="0.2">
      <c r="A38" s="197"/>
      <c r="B38" s="198"/>
      <c r="C38" s="223"/>
      <c r="D38" s="245" t="s">
        <v>416</v>
      </c>
      <c r="E38" s="246"/>
      <c r="F38" s="246"/>
      <c r="G38" s="246"/>
      <c r="H38" s="246"/>
      <c r="I38" s="246"/>
      <c r="J38" s="246"/>
      <c r="K38" s="246"/>
      <c r="L38" s="202"/>
      <c r="M38" s="202"/>
      <c r="N38" s="202"/>
      <c r="O38" s="202"/>
      <c r="P38" s="245" t="s">
        <v>17</v>
      </c>
      <c r="Q38" s="246"/>
      <c r="R38" s="246"/>
      <c r="S38" s="248"/>
      <c r="T38" s="246"/>
      <c r="U38" s="246"/>
      <c r="V38" s="246"/>
      <c r="W38" s="248"/>
      <c r="X38" s="249" t="str">
        <f>IF(OR(Daten!$L$55=FALSE,I44="",I44=0),"",IF(I44&gt;0,"min. "&amp;TEXT(Daten!$D$84,"#.##0")&amp;"% der Gesamtkosten ≙ "&amp;TEXT(ROUND(I44*Daten!$D$84/100,2),"#.##0,00 €"),"mindestens "&amp;TEXT(Daten!$D$84,"#.##0")&amp;" % der Gesamtkosten"))</f>
        <v/>
      </c>
      <c r="Y38" s="428" t="str">
        <f>IF(Grunddaten!T61=TRUE,"i","")</f>
        <v/>
      </c>
      <c r="Z38" s="432"/>
      <c r="AA38" s="197"/>
      <c r="AB38" s="208" t="b">
        <v>1</v>
      </c>
      <c r="AD38" s="197"/>
      <c r="AE38" s="197"/>
      <c r="AF38" s="197"/>
    </row>
    <row r="39" spans="1:32" s="200" customFormat="1" ht="5.0999999999999996" customHeight="1" x14ac:dyDescent="0.2">
      <c r="A39" s="197"/>
      <c r="B39" s="243"/>
      <c r="C39" s="247"/>
      <c r="D39" s="135"/>
      <c r="E39" s="202"/>
      <c r="F39" s="202"/>
      <c r="G39" s="202"/>
      <c r="H39" s="202"/>
      <c r="I39" s="202"/>
      <c r="J39" s="202"/>
      <c r="K39" s="202"/>
      <c r="L39" s="202"/>
      <c r="M39" s="202"/>
      <c r="N39" s="202"/>
      <c r="O39" s="202"/>
      <c r="P39" s="135"/>
      <c r="Q39" s="202"/>
      <c r="R39" s="202"/>
      <c r="S39" s="225"/>
      <c r="T39" s="202"/>
      <c r="U39" s="202"/>
      <c r="V39" s="202"/>
      <c r="W39" s="225"/>
      <c r="X39" s="219"/>
      <c r="Y39" s="437"/>
      <c r="Z39" s="432"/>
      <c r="AA39" s="197"/>
      <c r="AB39" s="208" t="b">
        <v>1</v>
      </c>
      <c r="AD39" s="197"/>
      <c r="AE39" s="197"/>
      <c r="AF39" s="197"/>
    </row>
    <row r="40" spans="1:32" ht="14.1" customHeight="1" x14ac:dyDescent="0.2">
      <c r="B40" s="4"/>
      <c r="C40" s="130"/>
      <c r="D40" s="129" t="str">
        <f>IF(OR(Daten!$M$79=TRUE,Daten!$M$80=TRUE,Daten!$M$81=TRUE),"Baukosten:","Grundstückskosten:")</f>
        <v>Grundstückskosten:</v>
      </c>
      <c r="E40" s="129"/>
      <c r="F40" s="129"/>
      <c r="G40" s="1093">
        <f>IF(D40="","",IF($I$44=0,0,I40*100/$I$44))</f>
        <v>0</v>
      </c>
      <c r="H40" s="1094"/>
      <c r="I40" s="1095"/>
      <c r="J40" s="1095"/>
      <c r="K40" s="1095"/>
      <c r="L40" s="376">
        <f>IF(Daten!L47&lt;&gt;Daten!M47,0,IF(OR($K$19="",$K$19=0,I40="",I40=0),0,IF(OR(Daten!$L$16=FALSE,Daten!$M$81=FALSE),ROUND(I40/$K$19,2),IF(OR($J$34=0,$J$34=""),0,ROUND(I40/$J$34,2)))))</f>
        <v>0</v>
      </c>
      <c r="M40" s="691" t="str">
        <f>IF(Daten!$M$81=FALSE," pro m² Wfl."," pro WE")</f>
        <v xml:space="preserve"> pro m² Wfl.</v>
      </c>
      <c r="N40" s="363"/>
      <c r="O40" s="154"/>
      <c r="P40" s="144" t="s">
        <v>272</v>
      </c>
      <c r="Q40" s="129"/>
      <c r="R40" s="129"/>
      <c r="S40" s="129"/>
      <c r="T40" s="1111">
        <f>IF(Daten!L51&lt;&gt;Daten!M51,0,IF(OR($I$44="",$I$44=0,V40="",V40=0),0,ROUND(V40*100/$I$44,IF(Daten!$M$81=TRUE,8,1))))</f>
        <v>0</v>
      </c>
      <c r="U40" s="1112"/>
      <c r="V40" s="1117">
        <f>$AE$44</f>
        <v>0</v>
      </c>
      <c r="W40" s="1118"/>
      <c r="X40" s="1119"/>
      <c r="Y40" s="439"/>
      <c r="Z40" s="431"/>
      <c r="AB40" s="208" t="b">
        <v>1</v>
      </c>
      <c r="AD40" s="1223" t="s">
        <v>775</v>
      </c>
      <c r="AE40" s="1223"/>
      <c r="AF40" s="1223"/>
    </row>
    <row r="41" spans="1:32" ht="14.1" customHeight="1" x14ac:dyDescent="0.2">
      <c r="B41" s="4"/>
      <c r="C41" s="130"/>
      <c r="D41" s="129" t="str">
        <f>IF(OR(Daten!$M$79=TRUE,Daten!$M$80=TRUE,Daten!$M$81=TRUE),"Baunebenkosten:","Erwerbskosten / Herrichtung:")</f>
        <v>Erwerbskosten / Herrichtung:</v>
      </c>
      <c r="E41" s="129"/>
      <c r="F41" s="129"/>
      <c r="G41" s="1093">
        <f t="shared" ref="G41:G43" si="0">IF(D41="","",IF($I$44=0,0,I41*100/$I$44))</f>
        <v>0</v>
      </c>
      <c r="H41" s="1094"/>
      <c r="I41" s="1095"/>
      <c r="J41" s="1095"/>
      <c r="K41" s="1095"/>
      <c r="L41" s="376">
        <f>IF(Daten!L48&lt;&gt;Daten!M48,0,IF(OR($K$19="",$K$19=0,I41="",I41=0),0,IF(OR(Daten!$L$16=FALSE,Daten!$M$81=FALSE),ROUND(I41/$K$19,2),IF(OR($J$34=0,$J$34=""),0,ROUND(I41/$J$34,2)))))</f>
        <v>0</v>
      </c>
      <c r="M41" s="691" t="str">
        <f>$M$40</f>
        <v xml:space="preserve"> pro m² Wfl.</v>
      </c>
      <c r="N41" s="363"/>
      <c r="O41" s="154"/>
      <c r="P41" s="144" t="s">
        <v>273</v>
      </c>
      <c r="Q41" s="129"/>
      <c r="R41" s="129"/>
      <c r="S41" s="129"/>
      <c r="T41" s="1111">
        <f>IF(Daten!L52&lt;&gt;Daten!M52,0,IF(OR($I$44="",$I$44=0,V41="",V41=0),0,ROUND(V41*100/$I$44,IF(Daten!$M$81=TRUE,8,1))))</f>
        <v>0</v>
      </c>
      <c r="U41" s="1112"/>
      <c r="V41" s="1117"/>
      <c r="W41" s="1118"/>
      <c r="X41" s="1119"/>
      <c r="Y41" s="439"/>
      <c r="Z41" s="431"/>
      <c r="AB41" s="208" t="b">
        <v>1</v>
      </c>
      <c r="AD41" s="1223"/>
      <c r="AE41" s="1223"/>
      <c r="AF41" s="1223"/>
    </row>
    <row r="42" spans="1:32" ht="14.1" customHeight="1" x14ac:dyDescent="0.2">
      <c r="B42" s="4"/>
      <c r="C42" s="130"/>
      <c r="D42" s="129" t="str">
        <f>IF(OR(Daten!$M$79=TRUE,Daten!$M$80=TRUE),"","Baukosten:")</f>
        <v>Baukosten:</v>
      </c>
      <c r="E42" s="129"/>
      <c r="F42" s="129"/>
      <c r="G42" s="1093">
        <f t="shared" si="0"/>
        <v>0</v>
      </c>
      <c r="H42" s="1094"/>
      <c r="I42" s="1103"/>
      <c r="J42" s="1103"/>
      <c r="K42" s="1103"/>
      <c r="L42" s="376">
        <f>IF(Daten!M79=TRUE,"",IF(Daten!L49&lt;&gt;Daten!M49,0,IF(OR($K$19="",$K$19=0,I42="",I42=0),0,IF(OR(Daten!$L$16=FALSE,Daten!$M$81=FALSE),ROUND(I42/$K$19,2),IF(OR($J$34=0,$J$34=""),0,ROUND(I42/$J$34,2))))))</f>
        <v>0</v>
      </c>
      <c r="M42" s="691" t="str">
        <f t="shared" ref="M42:M44" si="1">$M$40</f>
        <v xml:space="preserve"> pro m² Wfl.</v>
      </c>
      <c r="N42" s="363"/>
      <c r="O42" s="154"/>
      <c r="P42" s="144" t="str">
        <f>IF(Daten!M79=FALSE,"Wert des Baugrundstückes:","")</f>
        <v>Wert des Baugrundstückes:</v>
      </c>
      <c r="Q42" s="129"/>
      <c r="R42" s="129"/>
      <c r="S42" s="129"/>
      <c r="T42" s="1111">
        <f>IF(Daten!M79=TRUE,"",IF(Daten!L53&lt;&gt;Daten!M53,0,IF(OR($I$44="",$I$44=0,V42="",V42=0),0,ROUND(V42*100/$I$44,1))))</f>
        <v>0</v>
      </c>
      <c r="U42" s="1111"/>
      <c r="V42" s="1167"/>
      <c r="W42" s="1167"/>
      <c r="X42" s="1167"/>
      <c r="Y42" s="439"/>
      <c r="Z42" s="431"/>
      <c r="AB42" s="209" t="b">
        <f>IF(OR(Daten!$M$79=TRUE,Daten!$M$80=TRUE,Daten!$M$81=TRUE),FALSE,TRUE)</f>
        <v>1</v>
      </c>
      <c r="AD42" s="822" t="s">
        <v>701</v>
      </c>
      <c r="AE42" s="823">
        <f>ROUND(I44*Daten!$D$84/100,2)</f>
        <v>0</v>
      </c>
      <c r="AF42" s="824" t="str">
        <f>ADDRESS(ROW(V40),COLUMN(V40),TRUE)</f>
        <v>$V$40</v>
      </c>
    </row>
    <row r="43" spans="1:32" ht="14.1" customHeight="1" x14ac:dyDescent="0.2">
      <c r="B43" s="4"/>
      <c r="C43" s="130"/>
      <c r="D43" s="129" t="str">
        <f>IF(OR(Daten!$M$79=TRUE,Daten!$M$80=TRUE),"","Baunebenkosten:")</f>
        <v>Baunebenkosten:</v>
      </c>
      <c r="E43" s="129"/>
      <c r="F43" s="129"/>
      <c r="G43" s="1093">
        <f t="shared" si="0"/>
        <v>0</v>
      </c>
      <c r="H43" s="1094"/>
      <c r="I43" s="1103"/>
      <c r="J43" s="1103"/>
      <c r="K43" s="1103"/>
      <c r="L43" s="376">
        <f>IF(Daten!M79=TRUE,"",IF(Daten!L50&lt;&gt;Daten!M50,0,IF(OR($K$19="",$K$19=0,I43="",I43=0),0,IF(OR(Daten!$L$16=FALSE,Daten!$M$81=FALSE),ROUND(I43/$K$19,2),IF(OR($J$34=0,$J$34=""),0,ROUND(I43/$J$34,2))))))</f>
        <v>0</v>
      </c>
      <c r="M43" s="691" t="str">
        <f t="shared" si="1"/>
        <v xml:space="preserve"> pro m² Wfl.</v>
      </c>
      <c r="N43" s="363"/>
      <c r="O43" s="154"/>
      <c r="P43" s="144" t="str">
        <f>IF(OR(Daten!$M$77=TRUE,Daten!$M$78=TRUE),"Wert vorh. Gebäudeteile:","")</f>
        <v>Wert vorh. Gebäudeteile:</v>
      </c>
      <c r="Q43" s="129"/>
      <c r="R43" s="129"/>
      <c r="S43" s="129"/>
      <c r="T43" s="1111">
        <f>IF(AND(Daten!M77=FALSE,Daten!M78=FALSE),"",IF(Daten!L54&lt;&gt;Daten!M54,0,IF(OR($I$44="",$I$44=0,V43="",V43=0),0,ROUND(V43*100/$I$44,1))))</f>
        <v>0</v>
      </c>
      <c r="U43" s="1111"/>
      <c r="V43" s="1152"/>
      <c r="W43" s="1152"/>
      <c r="X43" s="1152"/>
      <c r="Y43" s="439"/>
      <c r="Z43" s="431"/>
      <c r="AB43" s="209" t="b">
        <f>AB42</f>
        <v>1</v>
      </c>
      <c r="AD43" s="822" t="s">
        <v>702</v>
      </c>
      <c r="AE43" s="823">
        <f>SUMPRODUCT((P41:P43&lt;&gt;"")*(AB41:AB43=TRUE)*(V41:X43))</f>
        <v>0</v>
      </c>
      <c r="AF43" s="824" t="s">
        <v>80</v>
      </c>
    </row>
    <row r="44" spans="1:32" ht="15.95" customHeight="1" thickBot="1" x14ac:dyDescent="0.25">
      <c r="B44" s="4"/>
      <c r="C44" s="130"/>
      <c r="D44" s="137" t="s">
        <v>275</v>
      </c>
      <c r="E44" s="129"/>
      <c r="F44" s="129"/>
      <c r="G44" s="1154">
        <f>SUM(G40:G43)</f>
        <v>0</v>
      </c>
      <c r="H44" s="1154"/>
      <c r="I44" s="1104">
        <f>IF(OR(Daten!L47&lt;&gt;Daten!M47,Daten!L48&lt;&gt;Daten!M48,Daten!L49&lt;&gt;Daten!M49,Daten!L50&lt;&gt;Daten!M50,AND(I40="",I41="",I42="",I43="")),0,SUMIF(AB40:AB43,TRUE,I40:K43))</f>
        <v>0</v>
      </c>
      <c r="J44" s="1104"/>
      <c r="K44" s="1104"/>
      <c r="L44" s="377">
        <f>IF(OR($K$19="",$K$19=0,I44="",I44=0),0,IF(Daten!$M$81=FALSE,ROUND(I44/$K$19,2),IF(OR($J$34=0,$J$34=""),0,ROUND(I44/$J$34,2))))</f>
        <v>0</v>
      </c>
      <c r="M44" s="692" t="str">
        <f t="shared" si="1"/>
        <v xml:space="preserve"> pro m² Wfl.</v>
      </c>
      <c r="N44" s="364"/>
      <c r="O44" s="155"/>
      <c r="P44" s="156" t="s">
        <v>274</v>
      </c>
      <c r="Q44" s="129"/>
      <c r="R44" s="129"/>
      <c r="S44" s="129"/>
      <c r="T44" s="1113">
        <f>IF(OR($I$44="",$I$44=0,V44="",V44=0),0,ROUND(V44*100/$I$44,IF(Daten!$M$81=TRUE,8,1)))</f>
        <v>0</v>
      </c>
      <c r="U44" s="1113"/>
      <c r="V44" s="1151">
        <f>IF(OR(Daten!L51&lt;&gt;Daten!M51,Daten!L52&lt;&gt;Daten!M52,Daten!L53&lt;&gt;Daten!M53,Daten!L54&lt;&gt;Daten!M54,AND(V40="",V41="",V42="",V43="")),0,IF(AND(Daten!$M$77=FALSE,Daten!$M$78=FALSE),SUMIF(AB40:AB42,TRUE,V40:V42),SUMIF(AB40:AB43,TRUE,V40:V43)))</f>
        <v>0</v>
      </c>
      <c r="W44" s="1151"/>
      <c r="X44" s="1151"/>
      <c r="Y44" s="427" t="str">
        <f>IF(Grunddaten!T61=TRUE,"i","")</f>
        <v/>
      </c>
      <c r="Z44" s="431"/>
      <c r="AB44" s="208" t="b">
        <v>1</v>
      </c>
      <c r="AD44" s="825" t="s">
        <v>703</v>
      </c>
      <c r="AE44" s="826">
        <f>MAX(0,AE42-AE43)</f>
        <v>0</v>
      </c>
      <c r="AF44" s="827" t="s">
        <v>80</v>
      </c>
    </row>
    <row r="45" spans="1:32" ht="9.9499999999999993" customHeight="1" thickTop="1" x14ac:dyDescent="0.2">
      <c r="B45" s="4"/>
      <c r="C45" s="130"/>
      <c r="D45" s="137"/>
      <c r="E45" s="129"/>
      <c r="F45" s="129"/>
      <c r="G45" s="167"/>
      <c r="H45" s="167"/>
      <c r="I45" s="312"/>
      <c r="J45" s="281"/>
      <c r="K45" s="281"/>
      <c r="L45" s="366"/>
      <c r="M45" s="368"/>
      <c r="N45" s="68"/>
      <c r="O45" s="129"/>
      <c r="P45" s="137"/>
      <c r="Q45" s="129"/>
      <c r="R45" s="129"/>
      <c r="S45" s="129"/>
      <c r="T45" s="129"/>
      <c r="U45" s="129"/>
      <c r="V45" s="157"/>
      <c r="W45" s="137"/>
      <c r="X45" s="137"/>
      <c r="Y45" s="425"/>
      <c r="Z45" s="431"/>
      <c r="AB45" s="208" t="b">
        <v>1</v>
      </c>
    </row>
    <row r="46" spans="1:32" s="200" customFormat="1" ht="15.95" customHeight="1" x14ac:dyDescent="0.2">
      <c r="A46" s="197"/>
      <c r="B46" s="198"/>
      <c r="C46" s="223"/>
      <c r="D46" s="250" t="s">
        <v>32</v>
      </c>
      <c r="E46" s="246"/>
      <c r="F46" s="246"/>
      <c r="G46" s="689"/>
      <c r="H46" s="689"/>
      <c r="I46" s="246"/>
      <c r="J46" s="251"/>
      <c r="K46" s="251"/>
      <c r="L46" s="367"/>
      <c r="M46" s="369"/>
      <c r="N46" s="224"/>
      <c r="O46" s="202"/>
      <c r="P46" s="250" t="s">
        <v>27</v>
      </c>
      <c r="Q46" s="246"/>
      <c r="R46" s="246"/>
      <c r="S46" s="246"/>
      <c r="T46" s="246"/>
      <c r="U46" s="246"/>
      <c r="V46" s="246"/>
      <c r="W46" s="252"/>
      <c r="X46" s="252"/>
      <c r="Y46" s="437"/>
      <c r="Z46" s="432"/>
      <c r="AA46" s="197"/>
      <c r="AB46" s="199" t="b">
        <v>1</v>
      </c>
      <c r="AD46" s="197"/>
      <c r="AE46" s="197"/>
      <c r="AF46" s="197"/>
    </row>
    <row r="47" spans="1:32" s="200" customFormat="1" ht="5.0999999999999996" customHeight="1" x14ac:dyDescent="0.2">
      <c r="A47" s="197"/>
      <c r="B47" s="243"/>
      <c r="C47" s="247"/>
      <c r="D47" s="158"/>
      <c r="E47" s="202"/>
      <c r="F47" s="202"/>
      <c r="G47" s="690"/>
      <c r="H47" s="690"/>
      <c r="I47" s="202"/>
      <c r="J47" s="226"/>
      <c r="K47" s="226"/>
      <c r="L47" s="367"/>
      <c r="M47" s="369"/>
      <c r="N47" s="224"/>
      <c r="O47" s="202"/>
      <c r="P47" s="158"/>
      <c r="Q47" s="202"/>
      <c r="R47" s="202"/>
      <c r="S47" s="202"/>
      <c r="T47" s="202"/>
      <c r="U47" s="202"/>
      <c r="V47" s="202"/>
      <c r="W47" s="227"/>
      <c r="X47" s="227"/>
      <c r="Y47" s="437"/>
      <c r="Z47" s="432"/>
      <c r="AA47" s="197"/>
      <c r="AB47" s="199" t="b">
        <v>1</v>
      </c>
      <c r="AD47" s="197"/>
      <c r="AE47" s="197"/>
      <c r="AF47" s="197"/>
    </row>
    <row r="48" spans="1:32" ht="14.1" customHeight="1" x14ac:dyDescent="0.2">
      <c r="B48" s="4"/>
      <c r="C48" s="130"/>
      <c r="D48" s="283" t="s">
        <v>264</v>
      </c>
      <c r="E48" s="129"/>
      <c r="F48" s="129"/>
      <c r="G48" s="1155">
        <f>IF(D48="","",IF($I$44=0,0,I48*100/$I$44))</f>
        <v>0</v>
      </c>
      <c r="H48" s="1155"/>
      <c r="I48" s="1122">
        <f>IF(Daten!L71&lt;&gt;Daten!M71,0,V44)</f>
        <v>0</v>
      </c>
      <c r="J48" s="1122"/>
      <c r="K48" s="1122"/>
      <c r="L48" s="376">
        <f>IF(OR($K$19="",$K$19=0,I48="",I48=0),0,IF(OR(Daten!$L$16=FALSE,Daten!$M$81=FALSE),ROUND(I48/$K$19,2),IF(OR($J$34=0,$J$34=""),0,ROUND(I48/$J$34,2))))</f>
        <v>0</v>
      </c>
      <c r="M48" s="691" t="str">
        <f t="shared" ref="M48:M53" si="2">$M$40</f>
        <v xml:space="preserve"> pro m² Wfl.</v>
      </c>
      <c r="N48" s="363"/>
      <c r="O48" s="154"/>
      <c r="P48" s="1159" t="s">
        <v>852</v>
      </c>
      <c r="Q48" s="1159"/>
      <c r="R48" s="1159"/>
      <c r="S48" s="1159"/>
      <c r="T48" s="1161">
        <f>IF(OR($I$44="",$I$44=0,V48="",V48=0),0,ROUND(V48*100/$I$44,IF(Daten!$M$81=TRUE,8,1)))</f>
        <v>0</v>
      </c>
      <c r="U48" s="1162"/>
      <c r="V48" s="1163"/>
      <c r="W48" s="1163"/>
      <c r="X48" s="1163"/>
      <c r="Y48" s="686" t="str">
        <f>IF($AE$90=1,"~","")</f>
        <v/>
      </c>
      <c r="Z48" s="431"/>
      <c r="AB48" s="199" t="b">
        <v>1</v>
      </c>
      <c r="AD48" s="1096" t="s">
        <v>559</v>
      </c>
      <c r="AE48" s="1096"/>
      <c r="AF48" s="1096"/>
    </row>
    <row r="49" spans="1:32" ht="14.1" customHeight="1" x14ac:dyDescent="0.2">
      <c r="B49" s="4"/>
      <c r="C49" s="130"/>
      <c r="D49" s="283" t="s">
        <v>830</v>
      </c>
      <c r="E49" s="129"/>
      <c r="F49" s="129"/>
      <c r="G49" s="1155">
        <f>IF(D49="","",IF($I$44=0,0,I49*100/$I$44))</f>
        <v>0</v>
      </c>
      <c r="H49" s="1155"/>
      <c r="I49" s="1122">
        <f>IF(V48+V49&gt;0,SUM(V50:X52),IF(Daten!L71&lt;&gt;Daten!M71,0,V53))</f>
        <v>0</v>
      </c>
      <c r="J49" s="1122"/>
      <c r="K49" s="1122"/>
      <c r="L49" s="376">
        <f>IF(OR($K$19="",$K$19=0,I49="",I49=0),0,IF(OR(Daten!$L$16=FALSE,Daten!$M$81=FALSE),ROUND(I49/$K$19,2),IF(OR($J$34=0,$J$34=""),0,ROUND(I49/$J$34,2))))</f>
        <v>0</v>
      </c>
      <c r="M49" s="691" t="str">
        <f t="shared" si="2"/>
        <v xml:space="preserve"> pro m² Wfl.</v>
      </c>
      <c r="N49" s="363"/>
      <c r="O49" s="154"/>
      <c r="P49" s="1159" t="s">
        <v>853</v>
      </c>
      <c r="Q49" s="1159"/>
      <c r="R49" s="1159"/>
      <c r="S49" s="1159"/>
      <c r="T49" s="1161">
        <f>IF(OR($I$44="",$I$44=0,V49="",V49=0),0,ROUND(V49*100/$I$44,IF(Daten!$M$81=TRUE,8,1)))</f>
        <v>0</v>
      </c>
      <c r="U49" s="1162"/>
      <c r="V49" s="1163"/>
      <c r="W49" s="1163"/>
      <c r="X49" s="1163"/>
      <c r="Y49" s="686" t="str">
        <f>IF($AE$90=2,"~","")</f>
        <v/>
      </c>
      <c r="Z49" s="431"/>
      <c r="AB49" s="208" t="b">
        <v>1</v>
      </c>
      <c r="AD49" s="583" t="s">
        <v>558</v>
      </c>
      <c r="AE49" s="649">
        <f>Daten!$D$73</f>
        <v>0</v>
      </c>
      <c r="AF49" s="645" t="b">
        <f>IF(AE49&gt;0,TRUE)</f>
        <v>0</v>
      </c>
    </row>
    <row r="50" spans="1:32" ht="14.1" customHeight="1" x14ac:dyDescent="0.2">
      <c r="B50" s="4"/>
      <c r="C50" s="130"/>
      <c r="D50" s="283" t="str">
        <f>IF(V48+V49&gt;0,"Zuschüsse (Sonstige):","Maximal mögliche Förderdarlehen:")</f>
        <v>Maximal mögliche Förderdarlehen:</v>
      </c>
      <c r="E50" s="129"/>
      <c r="F50" s="129"/>
      <c r="G50" s="1155">
        <f t="shared" ref="G50" si="3">IF(D50="","",IF($I$44=0,0,I50*100/$I$44))</f>
        <v>0</v>
      </c>
      <c r="H50" s="1155"/>
      <c r="I50" s="1122">
        <f>IF(V48+V49&gt;0,V48+V49,IF(Daten!L71&lt;&gt;Daten!M71,0,SUM(L59:P61)))</f>
        <v>0</v>
      </c>
      <c r="J50" s="1122"/>
      <c r="K50" s="1122"/>
      <c r="L50" s="376">
        <f>IF(OR($K$19="",$K$19=0,I50="",I50=0),0,IF(OR(Daten!$L$16=FALSE,Daten!$M$81=FALSE),ROUND(I50/$K$19,2),IF(OR($J$34=0,$J$34=""),0,ROUND(I50/$J$34,2))))</f>
        <v>0</v>
      </c>
      <c r="M50" s="691" t="str">
        <f t="shared" si="2"/>
        <v xml:space="preserve"> pro m² Wfl.</v>
      </c>
      <c r="N50" s="363"/>
      <c r="O50" s="154"/>
      <c r="P50" s="1160" t="str">
        <f>Daten!$K$112</f>
        <v/>
      </c>
      <c r="Q50" s="1160"/>
      <c r="R50" s="1160"/>
      <c r="S50" s="1160"/>
      <c r="T50" s="1153" t="str">
        <f>IF(P50="","",IF(OR($I$44="",$I$44=0,V50="",V50=0),0,ROUND(V50*100/$I$44,IF(Daten!$M$81=TRUE,8,1))))</f>
        <v/>
      </c>
      <c r="U50" s="1153"/>
      <c r="V50" s="1168" t="str">
        <f>Daten!$M$112</f>
        <v/>
      </c>
      <c r="W50" s="1168"/>
      <c r="X50" s="1168"/>
      <c r="Y50" s="426" t="str">
        <f>IF(Grunddaten!T47=TRUE,"i","")</f>
        <v/>
      </c>
      <c r="Z50" s="431"/>
      <c r="AB50" s="208" t="b">
        <v>1</v>
      </c>
      <c r="AD50" s="583" t="s">
        <v>557</v>
      </c>
      <c r="AE50" s="649">
        <f>Daten!$H$101</f>
        <v>0</v>
      </c>
      <c r="AF50" s="645" t="b">
        <f>IF(AE50&gt;0,TRUE)</f>
        <v>0</v>
      </c>
    </row>
    <row r="51" spans="1:32" ht="13.5" customHeight="1" x14ac:dyDescent="0.2">
      <c r="B51" s="4"/>
      <c r="C51" s="130"/>
      <c r="D51" s="327" t="str">
        <f>IF(V48+V49&gt;0,"Maximal mögliche Förderdarlehen:",IF(Daten!$M$3=TRUE,"Sonstige / Restfinanzierung(en):","Notwendige Restfinanzierung:"))</f>
        <v>Notwendige Restfinanzierung:</v>
      </c>
      <c r="E51" s="129"/>
      <c r="F51" s="129"/>
      <c r="G51" s="1155">
        <f>IF(D51="","",IF($I$44=0,0,I51*100/$I$44))</f>
        <v>0</v>
      </c>
      <c r="H51" s="1155"/>
      <c r="I51" s="1122">
        <f>IF(V48+V49&gt;0,IF(Daten!$L$71&lt;&gt;Daten!$M$71,0,SUM($L$59:$P$60)),IF(Daten!$L$71&lt;&gt;Daten!$M$71,0,$L$63+IF(AND($L$62&lt;&gt;"",$L$62&gt;0),$L$62,0)))</f>
        <v>0</v>
      </c>
      <c r="J51" s="1122"/>
      <c r="K51" s="1122"/>
      <c r="L51" s="376">
        <f>IF(OR($K$19="",$K$19=0,I51="",I51=0),0,IF(OR(Daten!$L$16=FALSE,Daten!$M$81=FALSE),ROUND(I51/$K$19,2),IF(OR($J$34=0,$J$34=""),0,ROUND(I51/$J$34,2))))</f>
        <v>0</v>
      </c>
      <c r="M51" s="691" t="str">
        <f t="shared" si="2"/>
        <v xml:space="preserve"> pro m² Wfl.</v>
      </c>
      <c r="N51" s="363"/>
      <c r="O51" s="154"/>
      <c r="P51" s="1131" t="str">
        <f>Daten!$K$113</f>
        <v/>
      </c>
      <c r="Q51" s="1131"/>
      <c r="R51" s="1131"/>
      <c r="S51" s="1131"/>
      <c r="T51" s="1153" t="str">
        <f>IF(P51="","",IF(OR($I$44="",$I$44=0,V51="",V51=0),0,ROUND(V51*100/$I$44,IF(Daten!$M$81=TRUE,8,1))))</f>
        <v/>
      </c>
      <c r="U51" s="1153"/>
      <c r="V51" s="1156" t="str">
        <f>Daten!$M$113</f>
        <v/>
      </c>
      <c r="W51" s="1156"/>
      <c r="X51" s="1156"/>
      <c r="Y51" s="425"/>
      <c r="Z51" s="431"/>
      <c r="AB51" s="208" t="b">
        <v>1</v>
      </c>
      <c r="AD51" s="583" t="str">
        <f>IF(Daten!L16=TRUE,"Klimabaustein:","Grundförderung:")</f>
        <v>Grundförderung:</v>
      </c>
      <c r="AE51" s="649">
        <f>IF(Daten!$L$16=TRUE,Daten!$D$128,Daten!$D$136)</f>
        <v>0</v>
      </c>
      <c r="AF51" s="645" t="b">
        <f>IF(AE51&gt;0,TRUE)</f>
        <v>0</v>
      </c>
    </row>
    <row r="52" spans="1:32" ht="12.75" hidden="1" customHeight="1" x14ac:dyDescent="0.2">
      <c r="A52" s="16"/>
      <c r="B52" s="99"/>
      <c r="C52" s="131"/>
      <c r="D52" s="327" t="str">
        <f>IF(V48+V49&gt;0,IF(Daten!$M$3=TRUE,"Sonstige / Restfinanzierung(en):","Notwendige Restfinanzierung:"),"")</f>
        <v/>
      </c>
      <c r="E52" s="654"/>
      <c r="F52" s="654"/>
      <c r="G52" s="1155" t="str">
        <f t="shared" ref="G52" si="4">IF(D52="","",IF($I$44=0,0,I52*100/$I$44))</f>
        <v/>
      </c>
      <c r="H52" s="1155"/>
      <c r="I52" s="1157" t="str">
        <f>IF(V48+V49&gt;0,IF(Daten!$L$71&lt;&gt;Daten!$M$71,0,$L$63+IF(AND($L$62&lt;&gt;"",$L$62&gt;0),$L$62,0)),"")</f>
        <v/>
      </c>
      <c r="J52" s="1157"/>
      <c r="K52" s="1157"/>
      <c r="L52" s="376" t="str">
        <f>IF(D52="","",IF(OR($K$19="",$K$19=0,I52="",I52=0),0,IF(OR(Daten!$L$16=FALSE,Daten!$M$81=FALSE),ROUND(I52/$K$19,2),IF(OR($J$34=0,$J$34=""),0,ROUND(I52/$J$34,2)))))</f>
        <v/>
      </c>
      <c r="M52" s="691" t="str">
        <f>IF(D52="","",$M$40)</f>
        <v/>
      </c>
      <c r="N52" s="363"/>
      <c r="O52" s="154"/>
      <c r="P52" s="1131" t="str">
        <f>Daten!$K$114</f>
        <v/>
      </c>
      <c r="Q52" s="1131"/>
      <c r="R52" s="1131"/>
      <c r="S52" s="1131"/>
      <c r="T52" s="1153" t="str">
        <f>IF(P52="","",IF(OR($I$44="",$I$44=0,V52="",V52=0),0,ROUND(V52*100/$I$44,IF(Daten!$M$81=TRUE,8,1))))</f>
        <v/>
      </c>
      <c r="U52" s="1153"/>
      <c r="V52" s="1156" t="str">
        <f>Daten!$M$114</f>
        <v/>
      </c>
      <c r="W52" s="1156"/>
      <c r="X52" s="1156"/>
      <c r="Y52" s="425"/>
      <c r="Z52" s="431"/>
      <c r="AA52" s="16"/>
      <c r="AB52" s="658" t="b">
        <f>IF(AND(OR(Daten!$L$17=TRUE,AND($AB$22=TRUE,Daten!$R$90=TRUE)),OR(D52&lt;&gt;"",P52&lt;&gt;"")),TRUE,FALSE)</f>
        <v>0</v>
      </c>
      <c r="AD52" s="583" t="s">
        <v>560</v>
      </c>
      <c r="AE52" s="649">
        <f>V48</f>
        <v>0</v>
      </c>
      <c r="AF52" s="645" t="b">
        <f>IF(AE52&gt;0,TRUE)</f>
        <v>0</v>
      </c>
    </row>
    <row r="53" spans="1:32" ht="15.95" customHeight="1" thickBot="1" x14ac:dyDescent="0.25">
      <c r="B53" s="4"/>
      <c r="C53" s="130"/>
      <c r="D53" s="137" t="s">
        <v>282</v>
      </c>
      <c r="E53" s="129"/>
      <c r="F53" s="129"/>
      <c r="G53" s="1158">
        <f>SUM(G48:G52)</f>
        <v>0</v>
      </c>
      <c r="H53" s="1158"/>
      <c r="I53" s="1213">
        <f>IF(OR(I48="",I49="",I50="",I51=""),0,SUM(I48:K52))</f>
        <v>0</v>
      </c>
      <c r="J53" s="1213"/>
      <c r="K53" s="1213"/>
      <c r="L53" s="377">
        <f>IF(OR($K$19="",$K$19=0,I53="",I53=0),0,IF(OR(Daten!$L$16=FALSE,Daten!$M$81=FALSE),ROUND(I53/$K$19,2),IF(OR($J$34=0,$J$34=""),0,ROUND(I53/$J$34,2))))</f>
        <v>0</v>
      </c>
      <c r="M53" s="692" t="str">
        <f t="shared" si="2"/>
        <v xml:space="preserve"> pro m² Wfl.</v>
      </c>
      <c r="N53" s="364"/>
      <c r="O53" s="155"/>
      <c r="P53" s="156" t="s">
        <v>276</v>
      </c>
      <c r="Q53" s="888"/>
      <c r="R53" s="888"/>
      <c r="S53" s="888"/>
      <c r="T53" s="1158">
        <f>IF(OR($I$44="",$I$44=0,V53="",V53=0),0,ROUND(V53*100/$I$44,IF(Daten!$M$81=TRUE,8,1)))</f>
        <v>0</v>
      </c>
      <c r="U53" s="1158"/>
      <c r="V53" s="1209">
        <f>IF(Daten!L56&lt;&gt;Daten!M56,0,SUM(V48:X52))</f>
        <v>0</v>
      </c>
      <c r="W53" s="1209"/>
      <c r="X53" s="1209"/>
      <c r="Y53" s="425"/>
      <c r="Z53" s="431"/>
      <c r="AB53" s="208" t="b">
        <v>1</v>
      </c>
      <c r="AD53" s="583" t="s">
        <v>561</v>
      </c>
      <c r="AE53" s="649">
        <f>V49</f>
        <v>0</v>
      </c>
      <c r="AF53" s="645" t="b">
        <f>IF(AE53&gt;0,TRUE)</f>
        <v>0</v>
      </c>
    </row>
    <row r="54" spans="1:32" ht="15.95" customHeight="1" thickTop="1" x14ac:dyDescent="0.2">
      <c r="A54" s="10"/>
      <c r="B54" s="4"/>
      <c r="C54" s="132"/>
      <c r="D54" s="133"/>
      <c r="E54" s="133"/>
      <c r="F54" s="133"/>
      <c r="G54" s="133"/>
      <c r="H54" s="133"/>
      <c r="I54" s="133"/>
      <c r="J54" s="133"/>
      <c r="K54" s="133"/>
      <c r="L54" s="133"/>
      <c r="M54" s="133"/>
      <c r="N54" s="133"/>
      <c r="O54" s="133"/>
      <c r="P54" s="159"/>
      <c r="Q54" s="152"/>
      <c r="R54" s="152"/>
      <c r="S54" s="152"/>
      <c r="T54" s="152"/>
      <c r="U54" s="152"/>
      <c r="V54" s="160"/>
      <c r="W54" s="161"/>
      <c r="X54" s="161"/>
      <c r="Y54" s="440"/>
      <c r="Z54" s="431"/>
      <c r="AB54" s="208" t="b">
        <v>1</v>
      </c>
      <c r="AD54" s="646" t="s">
        <v>562</v>
      </c>
      <c r="AE54" s="647">
        <f>SUM(AE49:AE53)</f>
        <v>0</v>
      </c>
      <c r="AF54" s="648" t="s">
        <v>80</v>
      </c>
    </row>
    <row r="55" spans="1:32" s="200" customFormat="1" ht="18" customHeight="1" x14ac:dyDescent="0.2">
      <c r="A55" s="197"/>
      <c r="B55" s="198"/>
      <c r="C55" s="201" t="s">
        <v>217</v>
      </c>
      <c r="D55" s="202"/>
      <c r="E55" s="202"/>
      <c r="F55" s="202"/>
      <c r="G55" s="202"/>
      <c r="H55" s="202"/>
      <c r="I55" s="202"/>
      <c r="J55" s="202"/>
      <c r="K55" s="202"/>
      <c r="L55" s="202"/>
      <c r="M55" s="202"/>
      <c r="N55" s="202"/>
      <c r="O55" s="202"/>
      <c r="P55" s="202"/>
      <c r="Q55" s="203"/>
      <c r="R55" s="203"/>
      <c r="S55" s="202"/>
      <c r="T55" s="202"/>
      <c r="U55" s="202"/>
      <c r="V55" s="202"/>
      <c r="W55" s="202"/>
      <c r="X55" s="202"/>
      <c r="Y55" s="437"/>
      <c r="Z55" s="432"/>
      <c r="AA55" s="197"/>
      <c r="AB55" s="208" t="b">
        <v>1</v>
      </c>
    </row>
    <row r="56" spans="1:32" ht="15.95" customHeight="1" x14ac:dyDescent="0.2">
      <c r="B56" s="4"/>
      <c r="C56" s="423" t="str">
        <f>C59</f>
        <v/>
      </c>
      <c r="D56" s="1091" t="s">
        <v>423</v>
      </c>
      <c r="E56" s="1091"/>
      <c r="F56" s="1091"/>
      <c r="G56" s="1091"/>
      <c r="H56" s="1091"/>
      <c r="I56" s="1091"/>
      <c r="J56" s="1091"/>
      <c r="K56" s="1091"/>
      <c r="L56" s="1091"/>
      <c r="M56" s="887"/>
      <c r="N56" s="1169" t="s">
        <v>12</v>
      </c>
      <c r="O56" s="1169"/>
      <c r="P56" s="1169"/>
      <c r="Q56" s="1169" t="s">
        <v>277</v>
      </c>
      <c r="R56" s="1169"/>
      <c r="S56" s="1169" t="s">
        <v>101</v>
      </c>
      <c r="T56" s="1169"/>
      <c r="U56" s="1169"/>
      <c r="V56" s="1247" t="s">
        <v>137</v>
      </c>
      <c r="W56" s="1247"/>
      <c r="X56" s="1247"/>
      <c r="Y56" s="426" t="str">
        <f>Y59</f>
        <v/>
      </c>
      <c r="Z56" s="431"/>
      <c r="AB56" s="208" t="b">
        <v>1</v>
      </c>
    </row>
    <row r="57" spans="1:32" ht="5.0999999999999996" customHeight="1" x14ac:dyDescent="0.2">
      <c r="A57" s="16"/>
      <c r="B57" s="99"/>
      <c r="C57" s="131"/>
      <c r="D57" s="194"/>
      <c r="E57" s="194"/>
      <c r="F57" s="194"/>
      <c r="G57" s="194"/>
      <c r="H57" s="194"/>
      <c r="I57" s="194"/>
      <c r="J57" s="194"/>
      <c r="K57" s="194"/>
      <c r="L57" s="194"/>
      <c r="M57" s="194"/>
      <c r="N57" s="188"/>
      <c r="O57" s="188"/>
      <c r="P57" s="188"/>
      <c r="Q57" s="188"/>
      <c r="R57" s="188"/>
      <c r="S57" s="188"/>
      <c r="T57" s="188"/>
      <c r="U57" s="188"/>
      <c r="V57" s="162"/>
      <c r="W57" s="162"/>
      <c r="X57" s="162"/>
      <c r="Y57" s="425"/>
      <c r="Z57" s="431"/>
      <c r="AA57" s="16"/>
      <c r="AB57" s="208" t="b">
        <v>1</v>
      </c>
    </row>
    <row r="58" spans="1:32" ht="14.1" customHeight="1" x14ac:dyDescent="0.2">
      <c r="A58" s="16"/>
      <c r="B58" s="4"/>
      <c r="C58" s="130"/>
      <c r="D58" s="1170" t="s">
        <v>807</v>
      </c>
      <c r="E58" s="1170"/>
      <c r="F58" s="1170"/>
      <c r="G58" s="1170"/>
      <c r="H58" s="1170"/>
      <c r="I58" s="1170"/>
      <c r="J58" s="1170"/>
      <c r="K58" s="1170"/>
      <c r="L58" s="1170"/>
      <c r="M58" s="1170"/>
      <c r="N58" s="1170"/>
      <c r="O58" s="1170"/>
      <c r="P58" s="1170"/>
      <c r="Q58" s="1170"/>
      <c r="R58" s="1170"/>
      <c r="S58" s="1170"/>
      <c r="T58" s="1170"/>
      <c r="U58" s="1171"/>
      <c r="V58" s="1246"/>
      <c r="W58" s="1246"/>
      <c r="X58" s="1246"/>
      <c r="Y58" s="425"/>
      <c r="Z58" s="431"/>
      <c r="AA58" s="16"/>
      <c r="AB58" s="208" t="b">
        <v>1</v>
      </c>
      <c r="AD58" s="1096" t="s">
        <v>800</v>
      </c>
      <c r="AE58" s="1096"/>
      <c r="AF58" s="1096"/>
    </row>
    <row r="59" spans="1:32" ht="14.1" customHeight="1" x14ac:dyDescent="0.2">
      <c r="A59" s="16"/>
      <c r="B59" s="4"/>
      <c r="C59" s="423" t="str">
        <f>IF(COUNTIF(Grunddaten!T57:T58,TRUE)&gt;0,"i","")</f>
        <v/>
      </c>
      <c r="D59" s="1131" t="str">
        <f>Daten!$K$115</f>
        <v>Förderdarlehen (Maßnahme; maximal bis zu 3.000,00 € / m²):</v>
      </c>
      <c r="E59" s="1131"/>
      <c r="F59" s="1131"/>
      <c r="G59" s="1131"/>
      <c r="H59" s="1131"/>
      <c r="I59" s="1131"/>
      <c r="J59" s="1131"/>
      <c r="K59" s="1132"/>
      <c r="L59" s="1176">
        <f>Daten!$M$115</f>
        <v>0</v>
      </c>
      <c r="M59" s="1176"/>
      <c r="N59" s="1176"/>
      <c r="O59" s="1176"/>
      <c r="P59" s="1176"/>
      <c r="Q59" s="1172">
        <f>Grunddaten!$H$57</f>
        <v>0.5</v>
      </c>
      <c r="R59" s="1172"/>
      <c r="S59" s="1175">
        <v>2</v>
      </c>
      <c r="T59" s="1175"/>
      <c r="U59" s="1175"/>
      <c r="V59" s="1177">
        <f>IF(Daten!L71&lt;&gt;Daten!M71,0,L59*(Q59+S59)/100)</f>
        <v>0</v>
      </c>
      <c r="W59" s="1177"/>
      <c r="X59" s="1177"/>
      <c r="Y59" s="426" t="str">
        <f>IF(COUNTIF(Grunddaten!T57:T58,TRUE)&gt;0,"i","")</f>
        <v/>
      </c>
      <c r="Z59" s="431"/>
      <c r="AA59" s="16"/>
      <c r="AB59" s="208" t="b">
        <v>1</v>
      </c>
      <c r="AD59" s="1002" t="s">
        <v>798</v>
      </c>
      <c r="AE59" s="649">
        <f>ROUND(V63-L63/100*3,2)</f>
        <v>0</v>
      </c>
      <c r="AF59" s="1000" t="s">
        <v>801</v>
      </c>
    </row>
    <row r="60" spans="1:32" ht="14.1" hidden="1" customHeight="1" x14ac:dyDescent="0.2">
      <c r="A60" s="16"/>
      <c r="B60" s="99"/>
      <c r="C60" s="447" t="str">
        <f>C59</f>
        <v/>
      </c>
      <c r="D60" s="1131" t="str">
        <f>Daten!$K$116</f>
        <v/>
      </c>
      <c r="E60" s="1131"/>
      <c r="F60" s="1131"/>
      <c r="G60" s="1131"/>
      <c r="H60" s="1131"/>
      <c r="I60" s="1131"/>
      <c r="J60" s="1131"/>
      <c r="K60" s="1132"/>
      <c r="L60" s="1176" t="str">
        <f>Daten!$M$116</f>
        <v/>
      </c>
      <c r="M60" s="1176"/>
      <c r="N60" s="1176"/>
      <c r="O60" s="1176"/>
      <c r="P60" s="1176"/>
      <c r="Q60" s="1172" t="str">
        <f>IF(D60="","",IF(OR(Daten!$L$71&lt;&gt;Daten!$M$71,$D$60=""),$Q$59,$Q$59))</f>
        <v/>
      </c>
      <c r="R60" s="1172"/>
      <c r="S60" s="1172" t="str">
        <f>IF(D60="","",S59)</f>
        <v/>
      </c>
      <c r="T60" s="1172"/>
      <c r="U60" s="1172"/>
      <c r="V60" s="1210" t="str">
        <f>IF(D60="","",IF(OR(Daten!$L$71&lt;&gt;Daten!$M$71,$D$60=""),0,L60*(Q60+S60)/100))</f>
        <v/>
      </c>
      <c r="W60" s="1211"/>
      <c r="X60" s="1212"/>
      <c r="Y60" s="426" t="str">
        <f>Y59</f>
        <v/>
      </c>
      <c r="Z60" s="431"/>
      <c r="AA60" s="16"/>
      <c r="AB60" s="209" t="b">
        <f>IF(AND(Daten!$L$16=TRUE,Daten!$M$81=TRUE),FALSE,IF(D60="",FALSE,TRUE))</f>
        <v>0</v>
      </c>
      <c r="AD60" s="1002" t="s">
        <v>799</v>
      </c>
      <c r="AE60" s="649">
        <f>IF(OR(L29="",L29=0),0,ROUNDDOWN(AE59/12/L29,2))</f>
        <v>0</v>
      </c>
      <c r="AF60" s="649">
        <f>Daten!D99</f>
        <v>10</v>
      </c>
    </row>
    <row r="61" spans="1:32" ht="14.1" hidden="1" customHeight="1" x14ac:dyDescent="0.2">
      <c r="A61" s="16"/>
      <c r="B61" s="99"/>
      <c r="C61" s="447"/>
      <c r="D61" s="1131" t="str">
        <f>Daten!$K$117</f>
        <v/>
      </c>
      <c r="E61" s="1131"/>
      <c r="F61" s="1131"/>
      <c r="G61" s="1131"/>
      <c r="H61" s="1131"/>
      <c r="I61" s="1131"/>
      <c r="J61" s="1131"/>
      <c r="K61" s="1132"/>
      <c r="L61" s="1176" t="str">
        <f>Daten!$M$117</f>
        <v/>
      </c>
      <c r="M61" s="1176"/>
      <c r="N61" s="1176"/>
      <c r="O61" s="1176"/>
      <c r="P61" s="1176"/>
      <c r="Q61" s="1172" t="str">
        <f>IF(D61="","",IF(OR(Daten!$L$71&lt;&gt;Daten!$M$71,$D$61=""),$Q$59,$Q$59))</f>
        <v/>
      </c>
      <c r="R61" s="1172"/>
      <c r="S61" s="1172" t="str">
        <f>IF(D61="","",IF(OR(Daten!$L$71&lt;&gt;Daten!$M$71,$D$61=""),$S$59,$S$59))</f>
        <v/>
      </c>
      <c r="T61" s="1172"/>
      <c r="U61" s="1172"/>
      <c r="V61" s="1210" t="str">
        <f>IF(D61="","",IF(OR(Daten!$L$71&lt;&gt;Daten!$M$71,$D$61=""),0,L61*(Q61+S61)/100))</f>
        <v/>
      </c>
      <c r="W61" s="1211"/>
      <c r="X61" s="1212"/>
      <c r="Y61" s="426"/>
      <c r="Z61" s="431"/>
      <c r="AA61" s="16"/>
      <c r="AB61" s="684" t="b">
        <v>0</v>
      </c>
      <c r="AD61" s="1002" t="s">
        <v>797</v>
      </c>
      <c r="AE61" s="649">
        <f>MAX(AF60,MAX(V28,V29-AE60))</f>
        <v>10</v>
      </c>
      <c r="AF61" s="1000" t="b">
        <f>IF(AND(L63&gt;0,Daten!$L$17=FALSE,Daten!$M$3=TRUE,S59=3,AE61&gt;V28,AE10=TRUE),TRUE,FALSE)</f>
        <v>0</v>
      </c>
    </row>
    <row r="62" spans="1:32" ht="14.1" hidden="1" customHeight="1" x14ac:dyDescent="0.2">
      <c r="A62" s="16"/>
      <c r="B62" s="99"/>
      <c r="C62" s="131"/>
      <c r="D62" s="1230"/>
      <c r="E62" s="1170"/>
      <c r="F62" s="1170"/>
      <c r="G62" s="1170"/>
      <c r="H62" s="1170"/>
      <c r="I62" s="1170"/>
      <c r="J62" s="1170"/>
      <c r="K62" s="1170"/>
      <c r="L62" s="1227"/>
      <c r="M62" s="1228"/>
      <c r="N62" s="1228"/>
      <c r="O62" s="1228"/>
      <c r="P62" s="1229"/>
      <c r="Q62" s="1175"/>
      <c r="R62" s="1175"/>
      <c r="S62" s="1175"/>
      <c r="T62" s="1175"/>
      <c r="U62" s="1175"/>
      <c r="V62" s="1210">
        <f>IF(OR(Daten!$L$71&lt;&gt;Daten!$M$71,$D$62=""),0,L62*(Q62+S62)/100)</f>
        <v>0</v>
      </c>
      <c r="W62" s="1211"/>
      <c r="X62" s="1212"/>
      <c r="Y62" s="425"/>
      <c r="Z62" s="431"/>
      <c r="AA62" s="16"/>
      <c r="AB62" s="329" t="b">
        <f>IF(Daten!$M$3=TRUE,TRUE,FALSE)</f>
        <v>0</v>
      </c>
    </row>
    <row r="63" spans="1:32" ht="14.1" customHeight="1" x14ac:dyDescent="0.2">
      <c r="A63" s="10"/>
      <c r="B63" s="4"/>
      <c r="C63" s="130"/>
      <c r="D63" s="1131" t="s">
        <v>373</v>
      </c>
      <c r="E63" s="1131"/>
      <c r="F63" s="1131"/>
      <c r="G63" s="1131"/>
      <c r="H63" s="1131"/>
      <c r="I63" s="1131"/>
      <c r="J63" s="1131"/>
      <c r="K63" s="1132"/>
      <c r="L63" s="1176">
        <f>IF(Daten!$L$71&lt;&gt;Daten!$M$71,0,IF(AND(OR(Daten!$L$16=TRUE,Daten!$L$17=TRUE),Daten!$M$81=TRUE),MAX(0,IF(Daten!$H$128=0,0,ROUNDUP(Daten!$H$128,-2))),IF(Daten!$D$46&lt;0,0,IF(Daten!$D$46=0,0,MAX(0,ROUNDUP(Daten!$D$46,-2))))))</f>
        <v>0</v>
      </c>
      <c r="M63" s="1176"/>
      <c r="N63" s="1176"/>
      <c r="O63" s="1176"/>
      <c r="P63" s="1176"/>
      <c r="Q63" s="1175"/>
      <c r="R63" s="1175"/>
      <c r="S63" s="1175"/>
      <c r="T63" s="1175"/>
      <c r="U63" s="1175"/>
      <c r="V63" s="1177">
        <f>IF(Daten!L71&lt;&gt;Daten!M71,0,IF(OR(Daten!M62=FALSE,Daten!M63=FALSE),0,L63*(Q63+S63)/100))</f>
        <v>0</v>
      </c>
      <c r="W63" s="1177"/>
      <c r="X63" s="1177"/>
      <c r="Y63" s="425"/>
      <c r="Z63" s="431"/>
      <c r="AA63" s="16"/>
      <c r="AB63" s="208" t="b">
        <v>1</v>
      </c>
    </row>
    <row r="64" spans="1:32" ht="15.95" customHeight="1" thickBot="1" x14ac:dyDescent="0.25">
      <c r="A64" s="16"/>
      <c r="B64" s="4"/>
      <c r="C64" s="130"/>
      <c r="D64" s="888"/>
      <c r="E64" s="888"/>
      <c r="F64" s="888"/>
      <c r="G64" s="156"/>
      <c r="H64" s="144"/>
      <c r="I64" s="144"/>
      <c r="J64" s="144"/>
      <c r="K64" s="163" t="s">
        <v>262</v>
      </c>
      <c r="L64" s="1234">
        <f>IF(OR(L59="",L63=""),0,SUM(L59:L63))</f>
        <v>0</v>
      </c>
      <c r="M64" s="1234"/>
      <c r="N64" s="1234"/>
      <c r="O64" s="1234"/>
      <c r="P64" s="1234"/>
      <c r="Q64" s="164"/>
      <c r="R64" s="164"/>
      <c r="S64" s="164"/>
      <c r="T64" s="68"/>
      <c r="U64" s="165" t="s">
        <v>263</v>
      </c>
      <c r="V64" s="1178">
        <f>IF(Daten!L71&lt;&gt;Daten!M71,0,SUM(V58:X63))</f>
        <v>0</v>
      </c>
      <c r="W64" s="1178"/>
      <c r="X64" s="1178"/>
      <c r="Y64" s="425"/>
      <c r="Z64" s="431"/>
      <c r="AA64" s="16"/>
      <c r="AB64" s="208" t="b">
        <v>1</v>
      </c>
      <c r="AD64" s="1223" t="s">
        <v>503</v>
      </c>
      <c r="AE64" s="1223"/>
      <c r="AF64" s="1223"/>
    </row>
    <row r="65" spans="1:32" ht="9.9499999999999993" customHeight="1" thickTop="1" x14ac:dyDescent="0.2">
      <c r="B65" s="4"/>
      <c r="C65" s="130"/>
      <c r="D65" s="1092" t="str">
        <f>IF(AND(Q63&lt;&gt;"",S63&lt;&gt;"",(Q59+S59)&gt;=(Q63+S63)),"Die Kapitalkosten (prozentuale Gesamtannuität) für die "&amp;CHAR(34)&amp;"Notwendige Restfinanzierung"&amp;CHAR(34)&amp;" müssen größer sein, als für "&amp;IF(Daten!M109&gt;1,"die","das")&amp;" Förderdarlehen!","")</f>
        <v/>
      </c>
      <c r="E65" s="1092"/>
      <c r="F65" s="1092"/>
      <c r="G65" s="1092"/>
      <c r="H65" s="1092"/>
      <c r="I65" s="1092"/>
      <c r="J65" s="1092"/>
      <c r="K65" s="1092"/>
      <c r="L65" s="1092"/>
      <c r="M65" s="1092"/>
      <c r="N65" s="1092"/>
      <c r="O65" s="1092"/>
      <c r="P65" s="1092"/>
      <c r="Q65" s="1092"/>
      <c r="R65" s="1092"/>
      <c r="S65" s="888"/>
      <c r="T65" s="888"/>
      <c r="U65" s="888"/>
      <c r="V65" s="888"/>
      <c r="W65" s="888"/>
      <c r="X65" s="888"/>
      <c r="Y65" s="425"/>
      <c r="Z65" s="431"/>
      <c r="AB65" s="208" t="b">
        <v>1</v>
      </c>
      <c r="AD65" s="1223"/>
      <c r="AE65" s="1223"/>
      <c r="AF65" s="1223"/>
    </row>
    <row r="66" spans="1:32" ht="15.95" customHeight="1" x14ac:dyDescent="0.2">
      <c r="B66" s="4"/>
      <c r="C66" s="130"/>
      <c r="D66" s="1092"/>
      <c r="E66" s="1092"/>
      <c r="F66" s="1092"/>
      <c r="G66" s="1092"/>
      <c r="H66" s="1092"/>
      <c r="I66" s="1092"/>
      <c r="J66" s="1092"/>
      <c r="K66" s="1092"/>
      <c r="L66" s="1092"/>
      <c r="M66" s="1092"/>
      <c r="N66" s="1092"/>
      <c r="O66" s="1092"/>
      <c r="P66" s="1092"/>
      <c r="Q66" s="1092"/>
      <c r="R66" s="1092"/>
      <c r="S66" s="888"/>
      <c r="T66" s="888"/>
      <c r="U66" s="888"/>
      <c r="V66" s="888"/>
      <c r="W66" s="888"/>
      <c r="X66" s="138" t="s">
        <v>138</v>
      </c>
      <c r="Y66" s="426" t="str">
        <f ca="1">IF(COUNTIF(Grunddaten!T86:T91,TRUE)&gt;0,"i","")</f>
        <v/>
      </c>
      <c r="Z66" s="431"/>
      <c r="AB66" s="208" t="b">
        <v>1</v>
      </c>
      <c r="AD66" s="583" t="s">
        <v>13</v>
      </c>
      <c r="AE66" s="1221" t="s">
        <v>15</v>
      </c>
      <c r="AF66" s="585">
        <f>Q59</f>
        <v>0.5</v>
      </c>
    </row>
    <row r="67" spans="1:32" ht="12.75" customHeight="1" x14ac:dyDescent="0.2">
      <c r="B67" s="4"/>
      <c r="C67" s="130"/>
      <c r="D67" s="888" t="str">
        <f>IF(Daten!M3=FALSE,"","Ansatz Bewirtschaftungskosten:")</f>
        <v/>
      </c>
      <c r="E67" s="888"/>
      <c r="F67" s="888"/>
      <c r="G67" s="1133" t="s">
        <v>211</v>
      </c>
      <c r="H67" s="1134"/>
      <c r="I67" s="1135"/>
      <c r="J67" s="992" t="str">
        <f ca="1">Y66</f>
        <v/>
      </c>
      <c r="K67" s="888"/>
      <c r="L67" s="888"/>
      <c r="M67" s="888"/>
      <c r="N67" s="888"/>
      <c r="O67" s="888"/>
      <c r="P67" s="888"/>
      <c r="Q67" s="888"/>
      <c r="R67" s="888"/>
      <c r="S67" s="888"/>
      <c r="T67" s="68"/>
      <c r="U67" s="889" t="str">
        <f ca="1">"Verwaltungskosten ("&amp;TEXT(Grunddaten!P86,"#.##0,00")&amp;" € / WE / p. a."&amp;IF(OR(Daten!L66&lt;&gt;Daten!M66,Daten!L67&lt;&gt;Daten!M67),"):",IF(G68+G69&gt;0," + "&amp;TEXT(Grunddaten!P87,"#.##0,00")&amp;" € / "&amp;IF(AND($G$68&gt;0,$G$69&gt;0),"Stellpl. &amp; Garage",IF($G$68&gt;0,"Stellplatz",IF($G$69&gt;0,"Garage","")))&amp;" / p. a.):","):"))</f>
        <v>Verwaltungskosten (343,69 € / WE / p. a.):</v>
      </c>
      <c r="V67" s="1148">
        <f>IF(OR(Daten!L28&lt;&gt;Daten!M28,Daten!L66&lt;&gt;Daten!M66,Daten!L67&lt;&gt;Daten!M67),0,Grunddaten!$P$86*$K$18+Grunddaten!$P$87*$G$69+Grunddaten!$P$87*$G$68)</f>
        <v>0</v>
      </c>
      <c r="W67" s="1148"/>
      <c r="X67" s="1148"/>
      <c r="Y67" s="426" t="str">
        <f ca="1">IF(COUNTIF(Grunddaten!T86:T87,TRUE)&gt;0,"i","")</f>
        <v/>
      </c>
      <c r="Z67" s="431"/>
      <c r="AB67" s="208" t="b">
        <v>1</v>
      </c>
      <c r="AD67" s="583" t="s">
        <v>14</v>
      </c>
      <c r="AE67" s="1221"/>
      <c r="AF67" s="585">
        <f>S59</f>
        <v>2</v>
      </c>
    </row>
    <row r="68" spans="1:32" ht="12.75" customHeight="1" x14ac:dyDescent="0.2">
      <c r="A68" s="10"/>
      <c r="B68" s="4"/>
      <c r="C68" s="130"/>
      <c r="D68" s="599" t="s">
        <v>792</v>
      </c>
      <c r="G68" s="1127"/>
      <c r="H68" s="1127"/>
      <c r="I68" s="1128"/>
      <c r="J68" s="888"/>
      <c r="K68" s="888"/>
      <c r="L68" s="167"/>
      <c r="M68" s="167"/>
      <c r="N68" s="888"/>
      <c r="O68" s="888"/>
      <c r="P68" s="888"/>
      <c r="Q68" s="888"/>
      <c r="R68" s="888"/>
      <c r="S68" s="888"/>
      <c r="T68" s="68"/>
      <c r="U68" s="889" t="str">
        <f ca="1">IF(OR(Daten!$L$65&lt;&gt;Daten!$M$65,Daten!$L$66&lt;&gt;Daten!$M$66),"Instandhaltungskosten:","Instandhaltungskosten ("&amp;IF(AD23=TRUE,"Ø ","")&amp;TEXT(AF23,"#.##0,00")&amp;" € / m² / Wfl. / p. a."&amp;IF(G69&gt;0," + "&amp;TEXT(Grunddaten!P90,"#.##0,00")&amp;" € / Garage / p. a.):","):"))</f>
        <v>Instandhaltungskosten (10,61 € / m² / Wfl. / p. a.):</v>
      </c>
      <c r="V68" s="1148">
        <f ca="1">AE21*AF21+AE22*AF22+AE24*AF24</f>
        <v>0</v>
      </c>
      <c r="W68" s="1148"/>
      <c r="X68" s="1148"/>
      <c r="Y68" s="426" t="str">
        <f ca="1">IF(COUNTIF(Grunddaten!T88:T90,TRUE)&gt;0,"i","")</f>
        <v/>
      </c>
      <c r="Z68" s="431"/>
      <c r="AB68" s="208" t="b">
        <v>1</v>
      </c>
      <c r="AD68" s="583" t="s">
        <v>115</v>
      </c>
      <c r="AE68" s="1221"/>
      <c r="AF68" s="586">
        <f>AF66+AF67</f>
        <v>2.5</v>
      </c>
    </row>
    <row r="69" spans="1:32" ht="12.75" customHeight="1" x14ac:dyDescent="0.2">
      <c r="B69" s="4"/>
      <c r="C69" s="130"/>
      <c r="D69" s="1001" t="s">
        <v>261</v>
      </c>
      <c r="E69" s="888"/>
      <c r="F69" s="888"/>
      <c r="G69" s="1127"/>
      <c r="H69" s="1127"/>
      <c r="I69" s="1128"/>
      <c r="J69" s="888"/>
      <c r="K69" s="888"/>
      <c r="L69" s="888"/>
      <c r="M69" s="888"/>
      <c r="N69" s="888"/>
      <c r="O69" s="888"/>
      <c r="P69" s="888"/>
      <c r="Q69" s="888"/>
      <c r="R69" s="888"/>
      <c r="S69" s="888"/>
      <c r="T69" s="68"/>
      <c r="U69" s="889" t="str">
        <f ca="1">AE36&amp;IF(AD37=TRUE,AE37,"")</f>
        <v>Mietausfallwagnis (2,00% p. a.)</v>
      </c>
      <c r="V69" s="1148">
        <f ca="1">IF(V35="","",V35*Grunddaten!$P$91/100+((($K$19*Grunddaten!$P$91)/100)*Grunddaten!$P$92*12))</f>
        <v>0</v>
      </c>
      <c r="W69" s="1148"/>
      <c r="X69" s="1148"/>
      <c r="Y69" s="426" t="str">
        <f ca="1">IF(Grunddaten!T91=TRUE,"i","")</f>
        <v/>
      </c>
      <c r="Z69" s="431"/>
      <c r="AB69" s="208" t="b">
        <v>1</v>
      </c>
      <c r="AD69" s="583" t="s">
        <v>13</v>
      </c>
      <c r="AE69" s="1222" t="s">
        <v>500</v>
      </c>
      <c r="AF69" s="585">
        <f>Q63</f>
        <v>0</v>
      </c>
    </row>
    <row r="70" spans="1:32" ht="12.75" hidden="1" customHeight="1" x14ac:dyDescent="0.2">
      <c r="B70" s="4"/>
      <c r="C70" s="130"/>
      <c r="D70" s="1001" t="str">
        <f>IF(AND(OR(Daten!$L$16=TRUE,Daten!$L$17=TRUE),OR(Daten!$M$81=TRUE,K21="",K21="Ja")),"","Aufzug vorhanden:")</f>
        <v/>
      </c>
      <c r="E70" s="888"/>
      <c r="F70" s="888"/>
      <c r="G70" s="1231"/>
      <c r="H70" s="1232"/>
      <c r="I70" s="1233"/>
      <c r="J70" s="888"/>
      <c r="K70" s="888"/>
      <c r="L70" s="888"/>
      <c r="M70" s="888"/>
      <c r="N70" s="888"/>
      <c r="O70" s="888"/>
      <c r="P70" s="888"/>
      <c r="Q70" s="888"/>
      <c r="R70" s="888"/>
      <c r="S70" s="888"/>
      <c r="T70" s="68"/>
      <c r="U70" s="889" t="str">
        <f>IF(OR(Daten!M12=FALSE,Daten!M75=TRUE,Daten!M77=TRUE,Daten!M79=TRUE),"","Pauschalaufwand für Besetzungsrechte:")</f>
        <v/>
      </c>
      <c r="V70" s="1148" t="str">
        <f>IF(OR(Daten!M12=FALSE,Daten!M75=TRUE,Daten!M77=TRUE,Daten!M79=TRUE),"",Daten!D107)</f>
        <v/>
      </c>
      <c r="W70" s="1148"/>
      <c r="X70" s="1148"/>
      <c r="Y70" s="425"/>
      <c r="Z70" s="431"/>
      <c r="AB70" s="209" t="b">
        <f>IF(AND(D70="",U70=""),FALSE,TRUE)</f>
        <v>0</v>
      </c>
      <c r="AD70" s="583" t="s">
        <v>14</v>
      </c>
      <c r="AE70" s="1222"/>
      <c r="AF70" s="585">
        <f>S63</f>
        <v>0</v>
      </c>
    </row>
    <row r="71" spans="1:32" ht="12.75" customHeight="1" thickBot="1" x14ac:dyDescent="0.25">
      <c r="A71" s="16"/>
      <c r="B71" s="99"/>
      <c r="C71" s="131"/>
      <c r="D71" s="888"/>
      <c r="E71" s="888"/>
      <c r="F71" s="888"/>
      <c r="G71" s="888"/>
      <c r="H71" s="888"/>
      <c r="I71" s="888"/>
      <c r="J71" s="888"/>
      <c r="K71" s="888"/>
      <c r="L71" s="888"/>
      <c r="M71" s="888"/>
      <c r="N71" s="888"/>
      <c r="O71" s="888"/>
      <c r="P71" s="888"/>
      <c r="Q71" s="888"/>
      <c r="R71" s="888"/>
      <c r="S71" s="888"/>
      <c r="T71" s="68"/>
      <c r="U71" s="163" t="s">
        <v>465</v>
      </c>
      <c r="V71" s="1213">
        <f ca="1">SUM(V67:X70)</f>
        <v>0</v>
      </c>
      <c r="W71" s="1213"/>
      <c r="X71" s="1213"/>
      <c r="Y71" s="425"/>
      <c r="Z71" s="431"/>
      <c r="AA71" s="16"/>
      <c r="AB71" s="208" t="b">
        <v>1</v>
      </c>
      <c r="AD71" s="583" t="s">
        <v>115</v>
      </c>
      <c r="AE71" s="1222"/>
      <c r="AF71" s="586">
        <f>AF69+AF70</f>
        <v>0</v>
      </c>
    </row>
    <row r="72" spans="1:32" ht="12.75" customHeight="1" thickTop="1" x14ac:dyDescent="0.2">
      <c r="B72" s="4"/>
      <c r="C72" s="130"/>
      <c r="J72" s="888"/>
      <c r="K72" s="888"/>
      <c r="L72" s="888"/>
      <c r="M72" s="888"/>
      <c r="N72" s="888"/>
      <c r="O72" s="888"/>
      <c r="P72" s="888"/>
      <c r="Q72" s="888"/>
      <c r="R72" s="888"/>
      <c r="S72" s="888"/>
      <c r="T72" s="888"/>
      <c r="U72" s="888"/>
      <c r="V72" s="888"/>
      <c r="W72" s="888"/>
      <c r="X72" s="167"/>
      <c r="Y72" s="425"/>
      <c r="Z72" s="431"/>
      <c r="AB72" s="208" t="b">
        <v>1</v>
      </c>
      <c r="AD72" s="584" t="s">
        <v>502</v>
      </c>
      <c r="AE72" s="582"/>
      <c r="AF72" s="586">
        <f>IF(AF68&gt;AF71,AF68-AF71+0.0001,0)</f>
        <v>2.5001000000000002</v>
      </c>
    </row>
    <row r="73" spans="1:32" ht="15.95" customHeight="1" x14ac:dyDescent="0.2">
      <c r="B73" s="4"/>
      <c r="C73" s="130"/>
      <c r="D73" s="888"/>
      <c r="E73" s="888"/>
      <c r="F73" s="888"/>
      <c r="G73" s="888"/>
      <c r="H73" s="888"/>
      <c r="I73" s="888"/>
      <c r="J73" s="888"/>
      <c r="K73" s="888"/>
      <c r="L73" s="888"/>
      <c r="M73" s="888"/>
      <c r="N73" s="888"/>
      <c r="O73" s="888"/>
      <c r="P73" s="888"/>
      <c r="Q73" s="888"/>
      <c r="R73" s="888"/>
      <c r="S73" s="888"/>
      <c r="T73" s="888"/>
      <c r="U73" s="888"/>
      <c r="V73" s="888"/>
      <c r="W73" s="888"/>
      <c r="X73" s="138" t="s">
        <v>139</v>
      </c>
      <c r="Y73" s="426" t="str">
        <f>IF(COUNTIF(Grunddaten!T81:T82,TRUE)&gt;0,"i","")</f>
        <v/>
      </c>
      <c r="Z73" s="431"/>
      <c r="AB73" s="208" t="b">
        <v>1</v>
      </c>
      <c r="AD73" s="584" t="s">
        <v>501</v>
      </c>
      <c r="AE73" s="582"/>
      <c r="AF73" s="587" t="b">
        <f>IF(D65&lt;&gt;"",TRUE,FALSE)</f>
        <v>0</v>
      </c>
    </row>
    <row r="74" spans="1:32" ht="14.1" hidden="1" customHeight="1" x14ac:dyDescent="0.2">
      <c r="A74" s="16"/>
      <c r="B74" s="99"/>
      <c r="C74" s="131"/>
      <c r="D74" s="1173" t="str">
        <f>"Zu verzinsende Eigenleistungen (max. "&amp;TEXT(V44,"#.##0,00")&amp;" €; leer lassen für vollen Ansatz"&amp;IF($V$74&lt;&gt;"","; unverzinslich: "&amp;TEXT(Daten!$D$106,"#.##0,00")&amp;" €","")&amp;"):"</f>
        <v>Zu verzinsende Eigenleistungen (max. 0,00 €; leer lassen für vollen Ansatz):</v>
      </c>
      <c r="E74" s="1173"/>
      <c r="F74" s="1173"/>
      <c r="G74" s="1173"/>
      <c r="H74" s="1173"/>
      <c r="I74" s="1173"/>
      <c r="J74" s="1173"/>
      <c r="K74" s="1173"/>
      <c r="L74" s="1173"/>
      <c r="M74" s="1173"/>
      <c r="N74" s="1173"/>
      <c r="O74" s="1173"/>
      <c r="P74" s="1173"/>
      <c r="Q74" s="1173"/>
      <c r="R74" s="1173"/>
      <c r="S74" s="1173"/>
      <c r="T74" s="1173"/>
      <c r="U74" s="1174"/>
      <c r="V74" s="1142"/>
      <c r="W74" s="1143"/>
      <c r="X74" s="1144"/>
      <c r="Y74" s="425"/>
      <c r="Z74" s="431"/>
      <c r="AA74" s="16"/>
      <c r="AB74" s="400" t="b">
        <f>IF(Daten!$M$3=TRUE,TRUE,FALSE)</f>
        <v>0</v>
      </c>
    </row>
    <row r="75" spans="1:32" ht="8.1" hidden="1" customHeight="1" x14ac:dyDescent="0.2">
      <c r="A75" s="16"/>
      <c r="B75" s="99"/>
      <c r="C75" s="131"/>
      <c r="D75" s="888"/>
      <c r="E75" s="888"/>
      <c r="F75" s="888"/>
      <c r="G75" s="888"/>
      <c r="H75" s="888"/>
      <c r="I75" s="888"/>
      <c r="J75" s="888"/>
      <c r="K75" s="888"/>
      <c r="L75" s="888"/>
      <c r="M75" s="888"/>
      <c r="N75" s="888"/>
      <c r="O75" s="888"/>
      <c r="P75" s="888"/>
      <c r="Q75" s="888"/>
      <c r="R75" s="888"/>
      <c r="S75" s="888"/>
      <c r="T75" s="888"/>
      <c r="U75" s="888"/>
      <c r="V75" s="888"/>
      <c r="W75" s="888"/>
      <c r="X75" s="138"/>
      <c r="Y75" s="425"/>
      <c r="Z75" s="431"/>
      <c r="AA75" s="16"/>
      <c r="AB75" s="400" t="b">
        <f>AB74</f>
        <v>0</v>
      </c>
    </row>
    <row r="76" spans="1:32" ht="12.75" customHeight="1" x14ac:dyDescent="0.2">
      <c r="B76" s="4"/>
      <c r="C76" s="130"/>
      <c r="D76" s="888"/>
      <c r="E76" s="888"/>
      <c r="F76" s="888"/>
      <c r="G76" s="888"/>
      <c r="H76" s="888"/>
      <c r="I76" s="888"/>
      <c r="J76" s="888"/>
      <c r="K76" s="888"/>
      <c r="L76" s="888"/>
      <c r="M76" s="888"/>
      <c r="N76" s="888"/>
      <c r="O76" s="888"/>
      <c r="P76" s="888"/>
      <c r="Q76" s="888"/>
      <c r="R76" s="888"/>
      <c r="S76" s="888"/>
      <c r="T76" s="68"/>
      <c r="U76" s="889" t="str">
        <f>"Eigenkapitalverzinsung auf bis zu ≙ "&amp;TEXT(Grunddaten!E81,"#.##0")&amp;"% der förderfähigen Baukosten ("&amp;TEXT(Daten!E103/100,"#.##0,00%")&amp;" auf "&amp;TEXT(Daten!$D$103,"#.##0,00 €")&amp;" p. a.):"</f>
        <v>Eigenkapitalverzinsung auf bis zu ≙ 15% der förderfähigen Baukosten (2,00% auf 0,00 € p. a.):</v>
      </c>
      <c r="V76" s="1148">
        <f>IF(Daten!L51&lt;&gt;Daten!M51,"",Daten!D103*Grunddaten!H81/100)</f>
        <v>0</v>
      </c>
      <c r="W76" s="1148"/>
      <c r="X76" s="1148"/>
      <c r="Y76" s="426" t="str">
        <f>IF(Grunddaten!T81=TRUE,"i","")</f>
        <v/>
      </c>
      <c r="Z76" s="431"/>
      <c r="AB76" s="208" t="b">
        <v>1</v>
      </c>
    </row>
    <row r="77" spans="1:32" ht="12.75" customHeight="1" x14ac:dyDescent="0.2">
      <c r="B77" s="4"/>
      <c r="C77" s="130"/>
      <c r="D77" s="1067"/>
      <c r="E77" s="888"/>
      <c r="F77" s="888"/>
      <c r="G77" s="888"/>
      <c r="H77" s="888"/>
      <c r="I77" s="888"/>
      <c r="J77" s="888"/>
      <c r="K77" s="888"/>
      <c r="L77" s="888"/>
      <c r="M77" s="888"/>
      <c r="N77" s="888"/>
      <c r="O77" s="888"/>
      <c r="P77" s="888"/>
      <c r="Q77" s="888"/>
      <c r="R77" s="888"/>
      <c r="S77" s="888"/>
      <c r="T77" s="68"/>
      <c r="U77" s="889" t="str">
        <f>"Eigenkapitalverzinsung auf darüber hinausgehende Eigenleistungen ("&amp;TEXT(Daten!E104/100,"#.##0,00%")&amp;" auf "&amp;TEXT(Daten!$D$104,"#.##0,00 €")&amp;" p. a.):"</f>
        <v>Eigenkapitalverzinsung auf darüber hinausgehende Eigenleistungen (3,00% auf 0,00 € p. a.):</v>
      </c>
      <c r="V77" s="1148">
        <f>IF(Daten!L51&lt;&gt;Daten!M51,"",Daten!D104*Grunddaten!H82/100)</f>
        <v>0</v>
      </c>
      <c r="W77" s="1148"/>
      <c r="X77" s="1148"/>
      <c r="Y77" s="426" t="str">
        <f>IF(Grunddaten!T82=TRUE,"i","")</f>
        <v/>
      </c>
      <c r="Z77" s="431"/>
      <c r="AB77" s="208" t="b">
        <v>1</v>
      </c>
    </row>
    <row r="78" spans="1:32" ht="12.75" customHeight="1" thickBot="1" x14ac:dyDescent="0.25">
      <c r="A78" s="16"/>
      <c r="B78" s="99"/>
      <c r="C78" s="131"/>
      <c r="D78" s="1066"/>
      <c r="E78" s="888"/>
      <c r="F78" s="888"/>
      <c r="G78" s="888"/>
      <c r="H78" s="888"/>
      <c r="I78" s="888"/>
      <c r="J78" s="888"/>
      <c r="K78" s="888"/>
      <c r="L78" s="888"/>
      <c r="M78" s="888"/>
      <c r="N78" s="888"/>
      <c r="O78" s="888"/>
      <c r="P78" s="888"/>
      <c r="Q78" s="888"/>
      <c r="R78" s="888"/>
      <c r="S78" s="888"/>
      <c r="T78" s="68"/>
      <c r="U78" s="163" t="str">
        <f>"Eigenkapitalverzinsung (Ø "&amp;TEXT(Daten!$E$105,"#.##0,0000")&amp;"%; bezogen auf "&amp;TEXT(V44,"#.##0,00")&amp;" € gesamte Eigenleistungen) p. a.:"</f>
        <v>Eigenkapitalverzinsung (Ø 0,0000%; bezogen auf 0,00 € gesamte Eigenleistungen) p. a.:</v>
      </c>
      <c r="V78" s="1213">
        <f>SUM(V76:X77)</f>
        <v>0</v>
      </c>
      <c r="W78" s="1213"/>
      <c r="X78" s="1213"/>
      <c r="Y78" s="426"/>
      <c r="Z78" s="431"/>
      <c r="AA78" s="16"/>
      <c r="AB78" s="528" t="b">
        <v>1</v>
      </c>
    </row>
    <row r="79" spans="1:32" ht="12.75" customHeight="1" thickTop="1" x14ac:dyDescent="0.2">
      <c r="B79" s="4"/>
      <c r="C79" s="130"/>
      <c r="D79" s="888"/>
      <c r="E79" s="888"/>
      <c r="F79" s="888"/>
      <c r="G79" s="888"/>
      <c r="H79" s="888"/>
      <c r="I79" s="888"/>
      <c r="J79" s="888"/>
      <c r="K79" s="888"/>
      <c r="L79" s="888"/>
      <c r="M79" s="888"/>
      <c r="N79" s="888"/>
      <c r="O79" s="888"/>
      <c r="P79" s="888"/>
      <c r="Q79" s="888"/>
      <c r="R79" s="888"/>
      <c r="S79" s="888"/>
      <c r="T79" s="68"/>
      <c r="U79" s="888"/>
      <c r="V79" s="888"/>
      <c r="W79" s="888"/>
      <c r="X79" s="888"/>
      <c r="Y79" s="425"/>
      <c r="Z79" s="431"/>
      <c r="AB79" s="208" t="b">
        <v>1</v>
      </c>
      <c r="AD79" s="1081" t="s">
        <v>774</v>
      </c>
      <c r="AE79" s="1081"/>
      <c r="AF79" s="1081"/>
    </row>
    <row r="80" spans="1:32" ht="12.75" customHeight="1" thickBot="1" x14ac:dyDescent="0.25">
      <c r="B80" s="4"/>
      <c r="C80" s="130"/>
      <c r="D80" s="282"/>
      <c r="E80" s="888"/>
      <c r="F80" s="888"/>
      <c r="G80" s="888"/>
      <c r="H80" s="888"/>
      <c r="I80" s="888"/>
      <c r="J80" s="1147"/>
      <c r="K80" s="1147"/>
      <c r="L80" s="1147"/>
      <c r="M80" s="888"/>
      <c r="N80" s="888"/>
      <c r="O80" s="888"/>
      <c r="P80" s="888"/>
      <c r="Q80" s="888"/>
      <c r="R80" s="888"/>
      <c r="S80" s="888"/>
      <c r="T80" s="68"/>
      <c r="U80" s="416" t="str">
        <f>UPPER("≙ Jährliche Gesamtaufwendungen:")</f>
        <v>≙ JÄHRLICHE GESAMTAUFWENDUNGEN:</v>
      </c>
      <c r="V80" s="1150">
        <f ca="1">IF(OR(V64="",V67="",V68="",V69="",V76="",V77=""),0,SUM(V64,V71,V78))</f>
        <v>0</v>
      </c>
      <c r="W80" s="1150"/>
      <c r="X80" s="1150"/>
      <c r="Y80" s="425"/>
      <c r="Z80" s="431"/>
      <c r="AB80" s="208" t="b">
        <v>1</v>
      </c>
      <c r="AD80" s="1081"/>
      <c r="AE80" s="1081"/>
      <c r="AF80" s="1081"/>
    </row>
    <row r="81" spans="1:32" ht="15.95" customHeight="1" thickTop="1" x14ac:dyDescent="0.2">
      <c r="B81" s="4"/>
      <c r="C81" s="132"/>
      <c r="D81" s="168"/>
      <c r="E81" s="168"/>
      <c r="F81" s="168"/>
      <c r="G81" s="168"/>
      <c r="H81" s="168"/>
      <c r="I81" s="168"/>
      <c r="J81" s="168"/>
      <c r="K81" s="168"/>
      <c r="L81" s="168"/>
      <c r="M81" s="168"/>
      <c r="N81" s="168"/>
      <c r="O81" s="168"/>
      <c r="P81" s="168"/>
      <c r="Q81" s="168"/>
      <c r="R81" s="168"/>
      <c r="S81" s="168"/>
      <c r="T81" s="168"/>
      <c r="U81" s="168"/>
      <c r="V81" s="168"/>
      <c r="W81" s="168"/>
      <c r="X81" s="168"/>
      <c r="Y81" s="440"/>
      <c r="Z81" s="431"/>
      <c r="AB81" s="208" t="b">
        <v>1</v>
      </c>
      <c r="AD81" s="792" t="s">
        <v>564</v>
      </c>
      <c r="AE81" s="793">
        <f ca="1">V88</f>
        <v>0</v>
      </c>
      <c r="AF81" s="794">
        <f ca="1">SUM(AF82:AF83)</f>
        <v>0</v>
      </c>
    </row>
    <row r="82" spans="1:32" s="200" customFormat="1" ht="18" hidden="1" customHeight="1" x14ac:dyDescent="0.2">
      <c r="A82" s="197"/>
      <c r="B82" s="198"/>
      <c r="C82" s="446" t="s">
        <v>278</v>
      </c>
      <c r="D82" s="205"/>
      <c r="E82" s="205"/>
      <c r="F82" s="205"/>
      <c r="G82" s="205"/>
      <c r="H82" s="205"/>
      <c r="I82" s="205"/>
      <c r="J82" s="205"/>
      <c r="K82" s="205"/>
      <c r="L82" s="205"/>
      <c r="M82" s="205"/>
      <c r="N82" s="205"/>
      <c r="O82" s="205"/>
      <c r="P82" s="205"/>
      <c r="Q82" s="205"/>
      <c r="R82" s="205"/>
      <c r="S82" s="205"/>
      <c r="T82" s="205"/>
      <c r="U82" s="205"/>
      <c r="V82" s="205"/>
      <c r="W82" s="205"/>
      <c r="X82" s="205"/>
      <c r="Y82" s="437"/>
      <c r="Z82" s="432"/>
      <c r="AA82" s="197"/>
      <c r="AB82" s="209" t="b">
        <f>IF(OR(Daten!$M$79=TRUE,Daten!$M$80=TRUE),TRUE,FALSE)</f>
        <v>0</v>
      </c>
      <c r="AD82" s="795" t="s">
        <v>565</v>
      </c>
      <c r="AE82" s="796">
        <f ca="1">MIN(V63,ABS(AE81))</f>
        <v>0</v>
      </c>
      <c r="AF82" s="796">
        <f>IF((Q63+S63)=0,0,AE82/(Q63+S63)*100)</f>
        <v>0</v>
      </c>
    </row>
    <row r="83" spans="1:32" s="200" customFormat="1" ht="12.75" hidden="1" customHeight="1" x14ac:dyDescent="0.2">
      <c r="A83" s="197"/>
      <c r="B83" s="243"/>
      <c r="C83" s="872"/>
      <c r="D83" s="1129" t="s">
        <v>808</v>
      </c>
      <c r="E83" s="1129"/>
      <c r="F83" s="1129"/>
      <c r="G83" s="1129"/>
      <c r="H83" s="1129"/>
      <c r="I83" s="1129"/>
      <c r="J83" s="1129"/>
      <c r="K83" s="1129"/>
      <c r="L83" s="1129"/>
      <c r="M83" s="1129"/>
      <c r="N83" s="1129"/>
      <c r="O83" s="1129"/>
      <c r="P83" s="1129"/>
      <c r="Q83" s="1129"/>
      <c r="R83" s="1129"/>
      <c r="S83" s="1129"/>
      <c r="T83" s="1130"/>
      <c r="U83" s="877" t="s">
        <v>676</v>
      </c>
      <c r="V83" s="1146">
        <f>IF(OR(U83="",U83="Nein"),0,AF100)</f>
        <v>0</v>
      </c>
      <c r="W83" s="1146"/>
      <c r="X83" s="1146"/>
      <c r="Y83" s="437"/>
      <c r="Z83" s="432"/>
      <c r="AA83" s="197"/>
      <c r="AB83" s="209" t="b">
        <f>IF(AND(Daten!$M$3=TRUE,OR(Daten!$M$79=TRUE,Daten!$M$80=TRUE)),TRUE,FALSE)</f>
        <v>0</v>
      </c>
      <c r="AD83" s="795" t="s">
        <v>581</v>
      </c>
      <c r="AE83" s="796">
        <f ca="1">MIN(ABS(AE81+AE82),V59)</f>
        <v>0</v>
      </c>
      <c r="AF83" s="797">
        <f ca="1">AE83/(Q59+S59)*100</f>
        <v>0</v>
      </c>
    </row>
    <row r="84" spans="1:32" ht="12.75" hidden="1" customHeight="1" x14ac:dyDescent="0.2">
      <c r="B84" s="4"/>
      <c r="C84" s="130"/>
      <c r="D84" s="1224" t="str">
        <f>IF(OR(Daten!C4=TRUE,Daten!L70=TRUE),"Jährlicher Deckungsbeitrag vor Maßnahmebeginn (∑ Nettokaltmiete abzgl. ∑ bestehender Kapitaldienst; ILB-Vordruck KE1605200756):","")</f>
        <v/>
      </c>
      <c r="E84" s="1224"/>
      <c r="F84" s="1224"/>
      <c r="G84" s="1224"/>
      <c r="H84" s="1224"/>
      <c r="I84" s="1224"/>
      <c r="J84" s="1224"/>
      <c r="K84" s="1224"/>
      <c r="L84" s="1224"/>
      <c r="M84" s="1224"/>
      <c r="N84" s="1224"/>
      <c r="O84" s="1224"/>
      <c r="P84" s="1224"/>
      <c r="Q84" s="1224"/>
      <c r="R84" s="1224"/>
      <c r="S84" s="1224"/>
      <c r="T84" s="1224"/>
      <c r="U84" s="1225"/>
      <c r="V84" s="1123"/>
      <c r="W84" s="1124"/>
      <c r="X84" s="1125"/>
      <c r="Y84" s="425"/>
      <c r="Z84" s="431"/>
      <c r="AB84" s="209" t="b">
        <f>IF(AND(OR(Daten!$M$79=TRUE,Daten!$M$80=TRUE),OR(Daten!$M$3=FALSE,U83="",U83="Nein")),TRUE,FALSE)</f>
        <v>0</v>
      </c>
      <c r="AD84" s="792" t="s">
        <v>582</v>
      </c>
      <c r="AE84" s="798" t="s">
        <v>80</v>
      </c>
      <c r="AF84" s="799" t="b">
        <f ca="1">IF(AF83&gt;=L59,FALSE,TRUE)</f>
        <v>0</v>
      </c>
    </row>
    <row r="85" spans="1:32" ht="12.75" hidden="1" customHeight="1" thickBot="1" x14ac:dyDescent="0.25">
      <c r="B85" s="4"/>
      <c r="C85" s="130"/>
      <c r="D85" s="1226" t="str">
        <f>IF(OR(Daten!$C$4=TRUE,Daten!$L$70=TRUE,Daten!$L$69=TRUE),"≙ einem jährlichen Deckungsbeitrag, abzüglich pauschaler Bewirtschaftungskosten ("&amp;TEXT(SUM(V67:X70),"#.##0,00")&amp;" €):","")</f>
        <v/>
      </c>
      <c r="E85" s="1226"/>
      <c r="F85" s="1226"/>
      <c r="G85" s="1226"/>
      <c r="H85" s="1226"/>
      <c r="I85" s="1226"/>
      <c r="J85" s="1226"/>
      <c r="K85" s="1226"/>
      <c r="L85" s="1226"/>
      <c r="M85" s="1226"/>
      <c r="N85" s="1226"/>
      <c r="O85" s="1226"/>
      <c r="P85" s="1226"/>
      <c r="Q85" s="1226"/>
      <c r="R85" s="1226"/>
      <c r="S85" s="1226"/>
      <c r="T85" s="1226"/>
      <c r="U85" s="1226"/>
      <c r="V85" s="1145">
        <f>IF(OR(Daten!$M$79=TRUE,Daten!$M$80=TRUE),IF($AB$82=FALSE,0,IF(AND(Daten!$M$3=TRUE,$U$83="Ja"),AF100,IF(V84="",0,IF(V84=0,(V71+V78+IF(D60&lt;&gt;"",V60,0)+IF(D61&lt;&gt;"",V61,0)+IF(D62&lt;&gt;"",V62,0)+Daten!$G$61),V84)))-V71),0)</f>
        <v>0</v>
      </c>
      <c r="W85" s="1145"/>
      <c r="X85" s="1145"/>
      <c r="Y85" s="425"/>
      <c r="Z85" s="431"/>
      <c r="AB85" s="209" t="b">
        <f>IF(OR(Daten!$M$79=TRUE,Daten!$M$80=TRUE),TRUE,FALSE)</f>
        <v>0</v>
      </c>
      <c r="AD85" s="792" t="s">
        <v>583</v>
      </c>
      <c r="AE85" s="793">
        <f ca="1">AE81+AE82+AE83</f>
        <v>0</v>
      </c>
      <c r="AF85" s="800" t="b">
        <f ca="1">IF(AE85&lt;0,FALSE,TRUE)</f>
        <v>1</v>
      </c>
    </row>
    <row r="86" spans="1:32" ht="18" hidden="1" customHeight="1" thickTop="1" x14ac:dyDescent="0.2">
      <c r="B86" s="4"/>
      <c r="C86" s="130"/>
      <c r="D86" s="169"/>
      <c r="E86" s="169"/>
      <c r="F86" s="169"/>
      <c r="G86" s="169"/>
      <c r="H86" s="169"/>
      <c r="I86" s="169"/>
      <c r="J86" s="169"/>
      <c r="K86" s="169"/>
      <c r="L86" s="169"/>
      <c r="M86" s="169"/>
      <c r="N86" s="169"/>
      <c r="O86" s="169"/>
      <c r="P86" s="169"/>
      <c r="Q86" s="169"/>
      <c r="R86" s="169"/>
      <c r="S86" s="169"/>
      <c r="T86" s="169"/>
      <c r="U86" s="169"/>
      <c r="V86" s="169"/>
      <c r="W86" s="169"/>
      <c r="X86" s="169"/>
      <c r="Y86" s="425"/>
      <c r="Z86" s="431"/>
      <c r="AB86" s="209" t="b">
        <f>IF(OR(Daten!$M$79=TRUE,Daten!$M$80=TRUE),TRUE,FALSE)</f>
        <v>0</v>
      </c>
      <c r="AD86" s="795" t="s">
        <v>567</v>
      </c>
      <c r="AE86" s="796">
        <f ca="1">MIN(V77,ABS(SUM(AE81:AE83)))</f>
        <v>0</v>
      </c>
      <c r="AF86" s="797">
        <f ca="1">IF(Daten!$E$104=0,0,AE86/Daten!$E$104*100)</f>
        <v>0</v>
      </c>
    </row>
    <row r="87" spans="1:32" s="200" customFormat="1" ht="18" customHeight="1" x14ac:dyDescent="0.2">
      <c r="A87" s="197"/>
      <c r="B87" s="198"/>
      <c r="C87" s="204" t="str">
        <f>IF(Daten!M79=TRUE,"Objektwirtschaftlichkeit (Neu)","Objektwirtschaftlichkeit")</f>
        <v>Objektwirtschaftlichkeit</v>
      </c>
      <c r="D87" s="206"/>
      <c r="E87" s="206"/>
      <c r="F87" s="206"/>
      <c r="G87" s="206"/>
      <c r="H87" s="206"/>
      <c r="I87" s="207"/>
      <c r="J87" s="206"/>
      <c r="K87" s="206"/>
      <c r="L87" s="206"/>
      <c r="M87" s="207"/>
      <c r="N87" s="206"/>
      <c r="O87" s="206"/>
      <c r="P87" s="206"/>
      <c r="Q87" s="206"/>
      <c r="R87" s="206"/>
      <c r="S87" s="206"/>
      <c r="T87" s="206"/>
      <c r="U87" s="207"/>
      <c r="V87" s="206"/>
      <c r="W87" s="206"/>
      <c r="X87" s="206"/>
      <c r="Y87" s="441"/>
      <c r="Z87" s="432"/>
      <c r="AA87" s="197"/>
      <c r="AB87" s="208" t="b">
        <v>1</v>
      </c>
      <c r="AD87" s="795" t="s">
        <v>566</v>
      </c>
      <c r="AE87" s="801">
        <f ca="1">MIN(V76,ABS(SUM(AE81:AE83)))</f>
        <v>0</v>
      </c>
      <c r="AF87" s="797">
        <f ca="1">IF(Daten!$E$103=0,0,AE87/Daten!$E$103*100)</f>
        <v>0</v>
      </c>
    </row>
    <row r="88" spans="1:32" ht="12.75" customHeight="1" thickBot="1" x14ac:dyDescent="0.25">
      <c r="B88" s="4"/>
      <c r="C88" s="130"/>
      <c r="D88" s="888"/>
      <c r="E88" s="888"/>
      <c r="F88" s="163" t="s">
        <v>279</v>
      </c>
      <c r="G88" s="1122">
        <f>V35</f>
        <v>0</v>
      </c>
      <c r="H88" s="1122"/>
      <c r="I88" s="1122"/>
      <c r="J88" s="888"/>
      <c r="K88" s="167"/>
      <c r="L88" s="163" t="s">
        <v>280</v>
      </c>
      <c r="M88" s="1122">
        <f ca="1">V80</f>
        <v>0</v>
      </c>
      <c r="N88" s="1122"/>
      <c r="O88" s="1122"/>
      <c r="P88" s="1122"/>
      <c r="Q88" s="890"/>
      <c r="S88" s="888"/>
      <c r="T88" s="68"/>
      <c r="U88" s="985" t="str">
        <f>IF(AND(OR(Daten!$M$79=TRUE,Daten!$M$80=TRUE),Daten!$G$60=TRUE),"Nach Reduzierung Förderdarlehen ►","")</f>
        <v/>
      </c>
      <c r="V88" s="1150">
        <f ca="1">IF(OR(G88="",M88=""),"",ROUND(G88-M88,2))</f>
        <v>0</v>
      </c>
      <c r="W88" s="1150"/>
      <c r="X88" s="1150"/>
      <c r="Y88" s="426" t="str">
        <f>IF(Grunddaten!S48&gt;0,"i","")</f>
        <v/>
      </c>
      <c r="Z88" s="431"/>
      <c r="AB88" s="208" t="b">
        <v>1</v>
      </c>
      <c r="AD88" s="792" t="s">
        <v>584</v>
      </c>
      <c r="AE88" s="798" t="s">
        <v>80</v>
      </c>
      <c r="AF88" s="802" t="b">
        <f ca="1">IF(SUM(AE86:AE87)&lt;ABS(AE85),FALSE,TRUE)</f>
        <v>1</v>
      </c>
    </row>
    <row r="89" spans="1:32" ht="18" customHeight="1" thickTop="1" x14ac:dyDescent="0.2">
      <c r="B89" s="4"/>
      <c r="C89" s="132"/>
      <c r="D89" s="170"/>
      <c r="E89" s="152"/>
      <c r="F89" s="152"/>
      <c r="G89" s="171"/>
      <c r="H89" s="151"/>
      <c r="I89" s="151"/>
      <c r="J89" s="152"/>
      <c r="K89" s="152"/>
      <c r="L89" s="171"/>
      <c r="M89" s="171"/>
      <c r="N89" s="171"/>
      <c r="O89" s="151"/>
      <c r="P89" s="152"/>
      <c r="Q89" s="152"/>
      <c r="R89" s="152"/>
      <c r="S89" s="152"/>
      <c r="T89" s="171"/>
      <c r="U89" s="171"/>
      <c r="V89" s="151"/>
      <c r="W89" s="151"/>
      <c r="X89" s="151"/>
      <c r="Y89" s="438"/>
      <c r="Z89" s="431"/>
      <c r="AB89" s="208" t="b">
        <v>1</v>
      </c>
      <c r="AD89" s="792" t="s">
        <v>585</v>
      </c>
      <c r="AE89" s="793">
        <f ca="1">AE85+AE86+AE87</f>
        <v>0</v>
      </c>
      <c r="AF89" s="800" t="b">
        <f ca="1">IF(AE89&lt;0,FALSE,TRUE)</f>
        <v>1</v>
      </c>
    </row>
    <row r="90" spans="1:32" s="200" customFormat="1" ht="18" customHeight="1" x14ac:dyDescent="0.2">
      <c r="A90" s="197"/>
      <c r="B90" s="198"/>
      <c r="C90" s="341" t="s">
        <v>5</v>
      </c>
      <c r="D90" s="342"/>
      <c r="E90" s="343"/>
      <c r="F90" s="343"/>
      <c r="G90" s="344"/>
      <c r="H90" s="345"/>
      <c r="I90" s="345"/>
      <c r="J90" s="343"/>
      <c r="K90" s="343"/>
      <c r="L90" s="344"/>
      <c r="M90" s="344"/>
      <c r="N90" s="344"/>
      <c r="O90" s="346"/>
      <c r="P90" s="343"/>
      <c r="Q90" s="343"/>
      <c r="R90" s="343"/>
      <c r="S90" s="343"/>
      <c r="T90" s="344"/>
      <c r="U90" s="344"/>
      <c r="V90" s="345"/>
      <c r="W90" s="345"/>
      <c r="X90" s="345"/>
      <c r="Y90" s="442"/>
      <c r="Z90" s="432"/>
      <c r="AA90" s="197"/>
      <c r="AB90" s="208" t="b">
        <v>1</v>
      </c>
      <c r="AD90" s="792" t="s">
        <v>580</v>
      </c>
      <c r="AE90" s="803">
        <v>0</v>
      </c>
      <c r="AF90" s="794">
        <f>IF(OR(AE90="",AE90=0),0,INDEX(V48:X49,AE90,1)+AF81)</f>
        <v>0</v>
      </c>
    </row>
    <row r="91" spans="1:32" ht="15.95" customHeight="1" x14ac:dyDescent="0.2">
      <c r="A91" s="16"/>
      <c r="B91" s="198"/>
      <c r="C91" s="131"/>
      <c r="D91" s="1120" t="str">
        <f>IF(Daten!$L$71&lt;&gt;Daten!$M$71,"Die Angaben sind noch nicht vollständig bzw. nicht plausibel. Eine Ergebnisanzeige ist derzeit nicht möglich.",IF(AND(L59=0,Daten!$G$50&gt;Daten!$D$55),"Eine Wirtschaftlichkeit des Vorhabens ist bereits ohne weitere Förderung über das "&amp;CHAR(34)&amp;"Notwendige Fremddarlehen"&amp;CHAR(34)&amp;" darstellbar!",IF(Daten!$R$5=TRUE,"Auf Basis der vorliegenden Daten konnte leider keine verläßliche Höhe für das Förderdarlehen (Maßnahme) ermittelt werden!"&amp;IF(Daten!$M$3=FALSE,UPPER(" Bitte kontaktieren Sie Ihre ILB für eine weiterführende Beratung!"),""),IF(ROUNDDOWN($V$88,0)&lt;0,"Das Vorhaben ist wirtschaftlich leider nicht darstellbar. Eine Förderung kann somit ohne Anpassungen "&amp;IF(AND(V88+V76+V77&lt;0,Daten!$M$3=TRUE),UPPER("(auch unter Verzicht der Eigenkapitalverzinsung) "),"")&amp;"nicht gewährt werden."&amp;IF(Daten!$M$3=FALSE,UPPER(" Bitte kontaktieren Sie Ihre ILB für eine weiterführende Beratung!"),"")&amp;" Nachfolgend werden die grundsätzlich möglichen Förderbeträge zur Information ausgewiesen:",IF(Daten!$C$4=TRUE,"Feld für Hinweismeldungen ...","")))))</f>
        <v>Die Angaben sind noch nicht vollständig bzw. nicht plausibel. Eine Ergebnisanzeige ist derzeit nicht möglich.</v>
      </c>
      <c r="E91" s="1120"/>
      <c r="F91" s="1120"/>
      <c r="G91" s="1120"/>
      <c r="H91" s="1120"/>
      <c r="I91" s="1120"/>
      <c r="J91" s="1120"/>
      <c r="K91" s="1120"/>
      <c r="L91" s="1120"/>
      <c r="M91" s="1120"/>
      <c r="N91" s="1120"/>
      <c r="O91" s="1120"/>
      <c r="P91" s="1120"/>
      <c r="Q91" s="1120"/>
      <c r="R91" s="1120"/>
      <c r="S91" s="1120"/>
      <c r="T91" s="1120"/>
      <c r="U91" s="1120"/>
      <c r="V91" s="1120"/>
      <c r="W91" s="1120"/>
      <c r="X91" s="1120"/>
      <c r="Y91" s="425"/>
      <c r="Z91" s="432"/>
      <c r="AA91" s="16"/>
      <c r="AB91" s="339" t="b">
        <f>IF(D91="",FALSE,TRUE)</f>
        <v>1</v>
      </c>
      <c r="AD91" s="12"/>
      <c r="AE91" s="12"/>
      <c r="AF91" s="12"/>
    </row>
    <row r="92" spans="1:32" ht="15.95" customHeight="1" x14ac:dyDescent="0.2">
      <c r="A92" s="16"/>
      <c r="B92" s="243"/>
      <c r="C92" s="131"/>
      <c r="D92" s="1121"/>
      <c r="E92" s="1121"/>
      <c r="F92" s="1121"/>
      <c r="G92" s="1121"/>
      <c r="H92" s="1121"/>
      <c r="I92" s="1121"/>
      <c r="J92" s="1121"/>
      <c r="K92" s="1121"/>
      <c r="L92" s="1121"/>
      <c r="M92" s="1121"/>
      <c r="N92" s="1121"/>
      <c r="O92" s="1121"/>
      <c r="P92" s="1121"/>
      <c r="Q92" s="1121"/>
      <c r="R92" s="1121"/>
      <c r="S92" s="1121"/>
      <c r="T92" s="1121"/>
      <c r="U92" s="1121"/>
      <c r="V92" s="1121"/>
      <c r="W92" s="1121"/>
      <c r="X92" s="1121"/>
      <c r="Y92" s="425"/>
      <c r="Z92" s="432"/>
      <c r="AA92" s="16"/>
      <c r="AB92" s="400" t="b">
        <f>AB91</f>
        <v>1</v>
      </c>
      <c r="AF92" s="695"/>
    </row>
    <row r="93" spans="1:32" ht="8.1" hidden="1" customHeight="1" x14ac:dyDescent="0.2">
      <c r="A93" s="16"/>
      <c r="B93" s="198"/>
      <c r="C93" s="131"/>
      <c r="D93" s="68"/>
      <c r="E93" s="68"/>
      <c r="F93" s="68"/>
      <c r="G93" s="68"/>
      <c r="H93" s="68"/>
      <c r="I93" s="68"/>
      <c r="J93" s="68"/>
      <c r="K93" s="68"/>
      <c r="L93" s="68"/>
      <c r="M93" s="68"/>
      <c r="N93" s="68"/>
      <c r="O93" s="68"/>
      <c r="P93" s="68"/>
      <c r="Q93" s="68"/>
      <c r="R93" s="68"/>
      <c r="S93" s="68"/>
      <c r="T93" s="68"/>
      <c r="U93" s="68"/>
      <c r="V93" s="68"/>
      <c r="W93" s="68"/>
      <c r="X93" s="68"/>
      <c r="Y93" s="425"/>
      <c r="Z93" s="432"/>
      <c r="AA93" s="16"/>
      <c r="AB93" s="339" t="b">
        <f>IF(Daten!$L$71&lt;&gt;Daten!$M$71,FALSE,AB91)</f>
        <v>0</v>
      </c>
    </row>
    <row r="94" spans="1:32" ht="12.75" hidden="1" customHeight="1" x14ac:dyDescent="0.2">
      <c r="B94" s="198"/>
      <c r="C94" s="131"/>
      <c r="D94" s="993" t="s">
        <v>362</v>
      </c>
      <c r="E94" s="994"/>
      <c r="F94" s="994"/>
      <c r="G94" s="994"/>
      <c r="H94" s="995"/>
      <c r="I94" s="995"/>
      <c r="J94" s="1149" t="s">
        <v>363</v>
      </c>
      <c r="K94" s="1149"/>
      <c r="L94" s="1245" t="s">
        <v>364</v>
      </c>
      <c r="M94" s="1245"/>
      <c r="N94" s="1245"/>
      <c r="O94" s="996"/>
      <c r="P94" s="997"/>
      <c r="Q94" s="997"/>
      <c r="R94" s="994"/>
      <c r="S94" s="994"/>
      <c r="T94" s="994"/>
      <c r="U94" s="994"/>
      <c r="V94" s="998"/>
      <c r="W94" s="998"/>
      <c r="X94" s="998" t="s">
        <v>400</v>
      </c>
      <c r="Y94" s="425"/>
      <c r="Z94" s="432"/>
      <c r="AB94" s="339" t="b">
        <f>IF(Daten!$L$71&lt;&gt;Daten!$M$71,FALSE,TRUE)</f>
        <v>0</v>
      </c>
      <c r="AD94" s="1219" t="s">
        <v>735</v>
      </c>
      <c r="AE94" s="1219"/>
      <c r="AF94" s="1219"/>
    </row>
    <row r="95" spans="1:32" ht="6" hidden="1" customHeight="1" x14ac:dyDescent="0.2">
      <c r="A95" s="16"/>
      <c r="B95" s="198"/>
      <c r="C95" s="347"/>
      <c r="D95" s="337"/>
      <c r="E95" s="16"/>
      <c r="F95" s="16"/>
      <c r="G95" s="16"/>
      <c r="H95" s="15"/>
      <c r="I95" s="15"/>
      <c r="J95" s="338"/>
      <c r="K95" s="338"/>
      <c r="L95" s="338"/>
      <c r="M95" s="338"/>
      <c r="N95" s="338"/>
      <c r="O95" s="492"/>
      <c r="P95" s="493"/>
      <c r="Q95" s="493"/>
      <c r="R95" s="493"/>
      <c r="S95" s="493"/>
      <c r="T95" s="493"/>
      <c r="U95" s="493"/>
      <c r="V95" s="493"/>
      <c r="W95" s="493"/>
      <c r="X95" s="493"/>
      <c r="Y95" s="443"/>
      <c r="Z95" s="432"/>
      <c r="AA95" s="16"/>
      <c r="AB95" s="339" t="b">
        <f>AB94</f>
        <v>0</v>
      </c>
      <c r="AD95" s="1219"/>
      <c r="AE95" s="1219"/>
      <c r="AF95" s="1219"/>
    </row>
    <row r="96" spans="1:32" ht="15.95" hidden="1" customHeight="1" x14ac:dyDescent="0.2">
      <c r="B96" s="198"/>
      <c r="C96" s="347"/>
      <c r="D96" s="16" t="str">
        <f>"Mögliche Höhe für "&amp;IF(Daten!$Q$143=FALSE,D59,LEFT(D59,SEARCH(";",D59)-1)&amp;"):")</f>
        <v>Mögliche Höhe für Förderdarlehen (Maßnahme):</v>
      </c>
      <c r="J96" s="1126" t="str">
        <f>IF(OR(Daten!$L$71&lt;&gt;Daten!$M$71),"",Daten!$N$115)</f>
        <v/>
      </c>
      <c r="K96" s="1126"/>
      <c r="L96" s="395" t="str">
        <f>IF(OR(Daten!$L$71&lt;&gt;Daten!$M$71),"",Daten!$O$115)</f>
        <v/>
      </c>
      <c r="M96" s="16" t="str">
        <f>IF(OR(Daten!$L$71&lt;&gt;Daten!$M$71),"",Daten!$P$115)</f>
        <v/>
      </c>
      <c r="O96" s="1193" t="str">
        <f>IF(Daten!M109&gt;1,"∑ der möglichen Förderdarlehen:","∑ des möglichen Förderdarlehens:")</f>
        <v>∑ des möglichen Förderdarlehens:</v>
      </c>
      <c r="P96" s="1194"/>
      <c r="Q96" s="1194"/>
      <c r="R96" s="1194"/>
      <c r="S96" s="1194"/>
      <c r="T96" s="1194"/>
      <c r="U96" s="1194"/>
      <c r="V96" s="1136">
        <f>IF(J96="",0,ROUNDUP(J96,-2))+IF(J97="",0,ROUNDUP(J97,-2))+IF(J98="",0,ROUNDUP(J98,-2))</f>
        <v>0</v>
      </c>
      <c r="W96" s="1136"/>
      <c r="X96" s="1137"/>
      <c r="Y96" s="443"/>
      <c r="Z96" s="432"/>
      <c r="AB96" s="339" t="b">
        <f>IF($AB$94=FALSE,FALSE,IF(Daten!$M$109&gt;0,TRUE,FALSE))</f>
        <v>0</v>
      </c>
      <c r="AD96" s="1219"/>
      <c r="AE96" s="1219"/>
      <c r="AF96" s="1219"/>
    </row>
    <row r="97" spans="1:32" ht="15.95" hidden="1" customHeight="1" x14ac:dyDescent="0.2">
      <c r="B97" s="198"/>
      <c r="C97" s="347"/>
      <c r="D97" s="16" t="str">
        <f>"Mögliche Höhe für "&amp;IF(D60="","…:",D60)</f>
        <v>Mögliche Höhe für …:</v>
      </c>
      <c r="H97" s="7"/>
      <c r="I97" s="15"/>
      <c r="J97" s="1126" t="str">
        <f>IF(OR(Daten!$L$71&lt;&gt;Daten!$M$71),"",Daten!$N$116)</f>
        <v/>
      </c>
      <c r="K97" s="1126"/>
      <c r="L97" s="395" t="str">
        <f>IF(OR(Daten!$L$71&lt;&gt;Daten!$M$71),"",Daten!$O$116)</f>
        <v/>
      </c>
      <c r="M97" s="16" t="str">
        <f>IF(OR(Daten!$L$71&lt;&gt;Daten!$M$71),"",Daten!$P$116)</f>
        <v/>
      </c>
      <c r="O97" s="1242"/>
      <c r="P97" s="1196"/>
      <c r="Q97" s="1196"/>
      <c r="R97" s="1196"/>
      <c r="S97" s="1196"/>
      <c r="T97" s="1196"/>
      <c r="U97" s="1196"/>
      <c r="V97" s="1138"/>
      <c r="W97" s="1138"/>
      <c r="X97" s="1139"/>
      <c r="Y97" s="443"/>
      <c r="Z97" s="432"/>
      <c r="AB97" s="339" t="b">
        <f>IF($AB$94=FALSE,FALSE,IF(Daten!$M$109&gt;1,TRUE,FALSE))</f>
        <v>0</v>
      </c>
      <c r="AD97" s="1240" t="str">
        <f>"Der rückgerechnete (theoretisch) maximale Deckungsbeitrag unterstellt eine Vollvermietung vor Maßnahmebeginn und eine Modernisierungsumlage von "&amp;TEXT(AF105,"#.##0,00 €")&amp;" pro m² Wohnfläche, basierend auf "&amp;TEXT(AF104*100,"#.##0,00")&amp;"%  Modernisierungskostenanteil."</f>
        <v>Der rückgerechnete (theoretisch) maximale Deckungsbeitrag unterstellt eine Vollvermietung vor Maßnahmebeginn und eine Modernisierungsumlage von 0,00 € pro m² Wohnfläche, basierend auf 60,00%  Modernisierungskostenanteil.</v>
      </c>
      <c r="AE97" s="1240"/>
      <c r="AF97" s="1240"/>
    </row>
    <row r="98" spans="1:32" ht="15.95" hidden="1" customHeight="1" x14ac:dyDescent="0.2">
      <c r="A98" s="16"/>
      <c r="B98" s="243"/>
      <c r="C98" s="347"/>
      <c r="D98" s="16" t="str">
        <f>"Mögliche Höhe für "&amp;IF(D61="","…:",D61)</f>
        <v>Mögliche Höhe für …:</v>
      </c>
      <c r="E98" s="16"/>
      <c r="F98" s="16"/>
      <c r="G98" s="16"/>
      <c r="H98" s="15"/>
      <c r="I98" s="15"/>
      <c r="J98" s="1126" t="str">
        <f>IF(OR(Daten!$L$71&lt;&gt;Daten!$M$71),"",Daten!$N$117)</f>
        <v/>
      </c>
      <c r="K98" s="1126"/>
      <c r="L98" s="395" t="str">
        <f>IF(OR(Daten!$L$71&lt;&gt;Daten!$M$71),"",Daten!$O$117)</f>
        <v/>
      </c>
      <c r="M98" s="16" t="str">
        <f>IF(OR(Daten!$L$71&lt;&gt;Daten!$M$71),"",Daten!$P$117)</f>
        <v/>
      </c>
      <c r="N98" s="16"/>
      <c r="O98" s="1243"/>
      <c r="P98" s="1244"/>
      <c r="Q98" s="1244"/>
      <c r="R98" s="1244"/>
      <c r="S98" s="1244"/>
      <c r="T98" s="1244"/>
      <c r="U98" s="1244"/>
      <c r="V98" s="1140"/>
      <c r="W98" s="1140"/>
      <c r="X98" s="1141"/>
      <c r="Y98" s="443"/>
      <c r="Z98" s="432"/>
      <c r="AA98" s="16"/>
      <c r="AB98" s="339" t="b">
        <f>IF($AB$94=FALSE,FALSE,IF(Daten!$M$109&gt;2,TRUE,FALSE))</f>
        <v>0</v>
      </c>
      <c r="AD98" s="1240"/>
      <c r="AE98" s="1240"/>
      <c r="AF98" s="1240"/>
    </row>
    <row r="99" spans="1:32" ht="9.9499999999999993" hidden="1" customHeight="1" x14ac:dyDescent="0.2">
      <c r="B99" s="198"/>
      <c r="C99" s="347"/>
      <c r="J99" s="395"/>
      <c r="K99" s="395"/>
      <c r="L99" s="395"/>
      <c r="O99" s="490"/>
      <c r="P99" s="490"/>
      <c r="Q99" s="490"/>
      <c r="R99" s="490"/>
      <c r="S99" s="490"/>
      <c r="T99" s="491"/>
      <c r="U99" s="491"/>
      <c r="V99" s="491"/>
      <c r="W99" s="490"/>
      <c r="X99" s="490"/>
      <c r="Y99" s="443"/>
      <c r="Z99" s="432"/>
      <c r="AB99" s="339" t="b">
        <f>$AB$94</f>
        <v>0</v>
      </c>
      <c r="AD99" s="1240"/>
      <c r="AE99" s="1240"/>
      <c r="AF99" s="1240"/>
    </row>
    <row r="100" spans="1:32" ht="15.95" hidden="1" customHeight="1" x14ac:dyDescent="0.2">
      <c r="B100" s="198"/>
      <c r="C100" s="347"/>
      <c r="D100" s="1" t="str">
        <f>"Mögliche Höhe für "&amp;IF(P50="","…:",P50)</f>
        <v>Mögliche Höhe für …:</v>
      </c>
      <c r="J100" s="1126" t="str">
        <f>IF(OR(Daten!$L$71&lt;&gt;Daten!$M$71),"",Daten!$N$112)</f>
        <v/>
      </c>
      <c r="K100" s="1126"/>
      <c r="L100" s="395" t="str">
        <f>IF(OR(Daten!$L$71&lt;&gt;Daten!$M$71),"",Daten!$O$112)</f>
        <v/>
      </c>
      <c r="M100" s="16" t="str">
        <f>Daten!$P$112</f>
        <v/>
      </c>
      <c r="O100" s="1193" t="str">
        <f>IF(Daten!$M$108&gt;1,"∑ der möglichen Förderzuschüsse:","∑ des möglichen Förderzuschusses:")</f>
        <v>∑ des möglichen Förderzuschusses:</v>
      </c>
      <c r="P100" s="1194"/>
      <c r="Q100" s="1194"/>
      <c r="R100" s="1194"/>
      <c r="S100" s="1194"/>
      <c r="T100" s="1194"/>
      <c r="U100" s="1194"/>
      <c r="V100" s="1136">
        <f>IF(J100="",0,ROUNDUP(J100,-2))+IF(J101="",0,ROUNDUP(J101,-2))+IF(J102="",0,ROUNDUP(J102,-2))</f>
        <v>0</v>
      </c>
      <c r="W100" s="1136"/>
      <c r="X100" s="1137"/>
      <c r="Y100" s="443"/>
      <c r="Z100" s="432"/>
      <c r="AB100" s="339" t="b">
        <f>IF($AB$94=FALSE,FALSE,IF(Daten!$M$108&gt;0,TRUE,FALSE))</f>
        <v>0</v>
      </c>
      <c r="AD100" s="876" t="s">
        <v>734</v>
      </c>
      <c r="AE100" s="875">
        <f>IF(OR(SUM(L27:L29)=0,SUM(V27:X29)=0),0,(((V27*L27+V28*L28+V29*L29)*12)-AF101))</f>
        <v>0</v>
      </c>
      <c r="AF100" s="1009">
        <f>AE100+AE101-AE102</f>
        <v>0</v>
      </c>
    </row>
    <row r="101" spans="1:32" ht="15.95" hidden="1" customHeight="1" x14ac:dyDescent="0.2">
      <c r="A101" s="16"/>
      <c r="B101" s="243"/>
      <c r="C101" s="347"/>
      <c r="D101" s="16" t="str">
        <f>"Mögliche Höhe für "&amp;IF(P51="","…:",P51)</f>
        <v>Mögliche Höhe für …:</v>
      </c>
      <c r="E101" s="16"/>
      <c r="F101" s="16"/>
      <c r="G101" s="16"/>
      <c r="H101" s="16"/>
      <c r="J101" s="1126" t="str">
        <f>IF(OR(Daten!$L$71&lt;&gt;Daten!$M$71),"",Daten!$N$113)</f>
        <v/>
      </c>
      <c r="K101" s="1126"/>
      <c r="L101" s="395" t="str">
        <f>IF(OR(Daten!$L$71&lt;&gt;Daten!$M$71),"",Daten!$O$113)</f>
        <v/>
      </c>
      <c r="M101" s="16" t="str">
        <f>Daten!$P$113</f>
        <v/>
      </c>
      <c r="N101" s="16"/>
      <c r="O101" s="1195"/>
      <c r="P101" s="1196"/>
      <c r="Q101" s="1196"/>
      <c r="R101" s="1196"/>
      <c r="S101" s="1196"/>
      <c r="T101" s="1196"/>
      <c r="U101" s="1196"/>
      <c r="V101" s="1138"/>
      <c r="W101" s="1138"/>
      <c r="X101" s="1139"/>
      <c r="Y101" s="443"/>
      <c r="Z101" s="432"/>
      <c r="AA101" s="16"/>
      <c r="AB101" s="339" t="b">
        <f>IF($AB$94=FALSE,FALSE,IF(Daten!$M$108&gt;1,TRUE,FALSE))</f>
        <v>0</v>
      </c>
      <c r="AD101" s="876" t="s">
        <v>736</v>
      </c>
      <c r="AE101" s="874">
        <f>V31</f>
        <v>0</v>
      </c>
      <c r="AF101" s="1009">
        <f>AF105*K19*12</f>
        <v>0</v>
      </c>
    </row>
    <row r="102" spans="1:32" ht="15.95" hidden="1" customHeight="1" x14ac:dyDescent="0.2">
      <c r="B102" s="198"/>
      <c r="C102" s="347"/>
      <c r="D102" s="16" t="str">
        <f>"Mögliche Höhe für "&amp;IF(P52="","…:",P52)</f>
        <v>Mögliche Höhe für …:</v>
      </c>
      <c r="J102" s="1126" t="str">
        <f>IF(OR(Daten!$L$71&lt;&gt;Daten!$M$71),"",Daten!$N$114)</f>
        <v/>
      </c>
      <c r="K102" s="1126"/>
      <c r="L102" s="395" t="str">
        <f>IF(OR(Daten!$L$71&lt;&gt;Daten!$M$71),"",Daten!$O$114)</f>
        <v/>
      </c>
      <c r="M102" s="16" t="str">
        <f>Daten!$P$114</f>
        <v/>
      </c>
      <c r="O102" s="1197"/>
      <c r="P102" s="1198"/>
      <c r="Q102" s="1198"/>
      <c r="R102" s="1198"/>
      <c r="S102" s="1198"/>
      <c r="T102" s="1198"/>
      <c r="U102" s="1198"/>
      <c r="V102" s="1191"/>
      <c r="W102" s="1191"/>
      <c r="X102" s="1192"/>
      <c r="Y102" s="443"/>
      <c r="Z102" s="432"/>
      <c r="AB102" s="339" t="b">
        <f>IF($AB$94=FALSE,FALSE,IF(Daten!$M$108&gt;2,TRUE,FALSE))</f>
        <v>0</v>
      </c>
      <c r="AD102" s="876" t="s">
        <v>737</v>
      </c>
      <c r="AE102" s="874">
        <f>V58</f>
        <v>0</v>
      </c>
      <c r="AF102" s="1009">
        <f>IF(OR(K19="",K19=0),0,AE100/K19/12)</f>
        <v>0</v>
      </c>
    </row>
    <row r="103" spans="1:32" ht="9.9499999999999993" hidden="1" customHeight="1" x14ac:dyDescent="0.2">
      <c r="A103" s="16"/>
      <c r="B103" s="243"/>
      <c r="C103" s="347"/>
      <c r="D103" s="16"/>
      <c r="E103" s="16"/>
      <c r="F103" s="16"/>
      <c r="G103" s="16"/>
      <c r="H103" s="16"/>
      <c r="J103" s="16"/>
      <c r="K103" s="16"/>
      <c r="L103" s="16"/>
      <c r="N103" s="340"/>
      <c r="O103" s="399"/>
      <c r="P103" s="399"/>
      <c r="Q103" s="399"/>
      <c r="R103" s="399"/>
      <c r="S103" s="399"/>
      <c r="T103" s="399"/>
      <c r="U103" s="399"/>
      <c r="V103" s="399"/>
      <c r="W103" s="399"/>
      <c r="X103" s="399"/>
      <c r="Y103" s="443"/>
      <c r="Z103" s="432"/>
      <c r="AA103" s="16"/>
      <c r="AB103" s="400" t="b">
        <f>AB94</f>
        <v>0</v>
      </c>
    </row>
    <row r="104" spans="1:32" ht="24" hidden="1" customHeight="1" x14ac:dyDescent="0.2">
      <c r="A104" s="16"/>
      <c r="B104" s="99"/>
      <c r="C104" s="347"/>
      <c r="D104" s="1182" t="str">
        <f>Daten!J133&amp;IF(Daten!$J$134="",""," "&amp;Daten!$J$134)</f>
        <v>Die Gesamtförderung i. H. v. 0,00 EUR (≙ ,00% der Kosten) entspräche Ø 0,00 EUR pro m² Wohnfläche bzw. Ø 0,00 EUR pro WE.</v>
      </c>
      <c r="E104" s="1182"/>
      <c r="F104" s="1182"/>
      <c r="G104" s="1182"/>
      <c r="H104" s="1182"/>
      <c r="I104" s="1182"/>
      <c r="J104" s="1182"/>
      <c r="K104" s="1182"/>
      <c r="L104" s="1182"/>
      <c r="M104" s="1182"/>
      <c r="N104" s="1182"/>
      <c r="O104" s="1182"/>
      <c r="P104" s="1182"/>
      <c r="Q104" s="1182"/>
      <c r="R104" s="1182"/>
      <c r="S104" s="1182"/>
      <c r="T104" s="1182"/>
      <c r="U104" s="1182"/>
      <c r="V104" s="1182"/>
      <c r="W104" s="1182"/>
      <c r="X104" s="1182"/>
      <c r="Y104" s="443"/>
      <c r="Z104" s="431"/>
      <c r="AA104" s="16"/>
      <c r="AB104" s="400" t="b">
        <f>AB94</f>
        <v>0</v>
      </c>
      <c r="AD104" s="876" t="s">
        <v>804</v>
      </c>
      <c r="AE104" s="874">
        <f>I40*AF104</f>
        <v>0</v>
      </c>
      <c r="AF104" s="1010">
        <f>Grunddaten!H93/100</f>
        <v>0.6</v>
      </c>
    </row>
    <row r="105" spans="1:32" ht="24" hidden="1" customHeight="1" x14ac:dyDescent="0.2">
      <c r="A105" s="16"/>
      <c r="B105" s="99"/>
      <c r="C105" s="347"/>
      <c r="D105" s="1183"/>
      <c r="E105" s="1183"/>
      <c r="F105" s="1183"/>
      <c r="G105" s="1183"/>
      <c r="H105" s="1183"/>
      <c r="I105" s="1183"/>
      <c r="J105" s="1183"/>
      <c r="K105" s="1183"/>
      <c r="L105" s="1183"/>
      <c r="M105" s="1183"/>
      <c r="N105" s="1183"/>
      <c r="O105" s="1183"/>
      <c r="P105" s="1183"/>
      <c r="Q105" s="1183"/>
      <c r="R105" s="1183"/>
      <c r="S105" s="1183"/>
      <c r="T105" s="1183"/>
      <c r="U105" s="1183"/>
      <c r="V105" s="1183"/>
      <c r="W105" s="1183"/>
      <c r="X105" s="1183"/>
      <c r="Y105" s="443"/>
      <c r="Z105" s="431"/>
      <c r="AA105" s="16"/>
      <c r="AB105" s="400" t="b">
        <f>IF(AB104=FALSE,FALSE,IF(Daten!$J$134="",FALSE,TRUE))</f>
        <v>0</v>
      </c>
      <c r="AD105" s="876" t="s">
        <v>806</v>
      </c>
      <c r="AE105" s="875">
        <f>AE104*IF(OR(Daten!$L$14=TRUE,Daten!$L$15=TRUE,Daten!$L$16=TRUE,Daten!$L$17=TRUE),8%,11%)</f>
        <v>0</v>
      </c>
      <c r="AF105" s="1011">
        <f>IF(AE105=0,0,MIN(AE105/K19/12,IF(OR(Daten!$L$14=TRUE,Daten!$L$15=TRUE,Daten!$L$16=TRUE,Daten!$L$17=TRUE),2,3/1.95583)))</f>
        <v>0</v>
      </c>
    </row>
    <row r="106" spans="1:32" ht="14.1" customHeight="1" x14ac:dyDescent="0.2">
      <c r="A106" s="16"/>
      <c r="B106" s="243"/>
      <c r="C106" s="347"/>
      <c r="D106" s="16"/>
      <c r="E106" s="16"/>
      <c r="F106" s="16"/>
      <c r="G106" s="16"/>
      <c r="H106" s="16"/>
      <c r="J106" s="16"/>
      <c r="K106" s="16"/>
      <c r="L106" s="16"/>
      <c r="N106" s="340"/>
      <c r="O106" s="399"/>
      <c r="P106" s="399"/>
      <c r="Q106" s="399"/>
      <c r="R106" s="399"/>
      <c r="S106" s="399"/>
      <c r="T106" s="399"/>
      <c r="U106" s="399"/>
      <c r="V106" s="399"/>
      <c r="W106" s="399"/>
      <c r="X106" s="399"/>
      <c r="Y106" s="443"/>
      <c r="Z106" s="432"/>
      <c r="AA106" s="16"/>
      <c r="AB106" s="208" t="b">
        <v>1</v>
      </c>
    </row>
    <row r="107" spans="1:32" ht="12.75" customHeight="1" x14ac:dyDescent="0.2">
      <c r="A107" s="16"/>
      <c r="B107" s="198"/>
      <c r="C107" s="347"/>
      <c r="D107" s="878"/>
      <c r="E107" s="16"/>
      <c r="F107" s="16"/>
      <c r="G107" s="16"/>
      <c r="H107" s="16"/>
      <c r="J107" s="16"/>
      <c r="K107" s="16"/>
      <c r="L107" s="1180" t="str">
        <f ca="1">IF(O107&lt;&gt;"","Hinweis:","")</f>
        <v/>
      </c>
      <c r="M107" s="1180"/>
      <c r="N107" s="1180"/>
      <c r="O107" s="1179" t="str">
        <f ca="1">IF(Grunddaten!$T$98&gt;0,"Die Grunddaten der Richtlinien wurden in mindestens einem Punkt manuell angepasst. Die Berechnung entspricht nicht mehr den grundsätzlichen Regelungen der geltenden Richtlinie.",IF(Daten!J101&lt;&gt;"",Daten!J101,""))</f>
        <v/>
      </c>
      <c r="P107" s="1179"/>
      <c r="Q107" s="1179"/>
      <c r="R107" s="1179"/>
      <c r="S107" s="1179"/>
      <c r="T107" s="1179"/>
      <c r="U107" s="1179"/>
      <c r="V107" s="1179"/>
      <c r="W107" s="1179"/>
      <c r="X107" s="1179"/>
      <c r="Y107" s="443"/>
      <c r="Z107" s="432"/>
      <c r="AA107" s="16"/>
      <c r="AB107" s="208" t="b">
        <v>1</v>
      </c>
      <c r="AD107" s="1081" t="s">
        <v>773</v>
      </c>
      <c r="AE107" s="1081"/>
      <c r="AF107" s="1081"/>
    </row>
    <row r="108" spans="1:32" ht="12.75" customHeight="1" x14ac:dyDescent="0.2">
      <c r="B108" s="198"/>
      <c r="C108" s="347"/>
      <c r="D108" s="1185">
        <f ca="1">TODAY()</f>
        <v>45947</v>
      </c>
      <c r="E108" s="1185"/>
      <c r="F108" s="152"/>
      <c r="G108" s="152"/>
      <c r="H108" s="152"/>
      <c r="I108" s="152"/>
      <c r="J108" s="152"/>
      <c r="L108" s="1181" t="str">
        <f ca="1">IF(O107&lt;&gt;"","i","")</f>
        <v/>
      </c>
      <c r="M108" s="1181"/>
      <c r="N108" s="1181"/>
      <c r="O108" s="1179"/>
      <c r="P108" s="1179"/>
      <c r="Q108" s="1179"/>
      <c r="R108" s="1179"/>
      <c r="S108" s="1179"/>
      <c r="T108" s="1179"/>
      <c r="U108" s="1179"/>
      <c r="V108" s="1179"/>
      <c r="W108" s="1179"/>
      <c r="X108" s="1179"/>
      <c r="Y108" s="443"/>
      <c r="Z108" s="432"/>
      <c r="AB108" s="208" t="b">
        <v>1</v>
      </c>
      <c r="AD108" s="1081"/>
      <c r="AE108" s="1081"/>
      <c r="AF108" s="1081"/>
    </row>
    <row r="109" spans="1:32" ht="12.75" customHeight="1" x14ac:dyDescent="0.2">
      <c r="B109" s="198"/>
      <c r="C109" s="347"/>
      <c r="D109" s="67" t="s">
        <v>42</v>
      </c>
      <c r="E109" s="335"/>
      <c r="F109" s="335"/>
      <c r="G109" s="335"/>
      <c r="H109" s="335"/>
      <c r="I109" s="335"/>
      <c r="J109" s="335"/>
      <c r="L109" s="1181"/>
      <c r="M109" s="1181"/>
      <c r="N109" s="1181"/>
      <c r="O109" s="1179"/>
      <c r="P109" s="1179"/>
      <c r="Q109" s="1179"/>
      <c r="R109" s="1179"/>
      <c r="S109" s="1179"/>
      <c r="T109" s="1179"/>
      <c r="U109" s="1179"/>
      <c r="V109" s="1179"/>
      <c r="W109" s="1179"/>
      <c r="X109" s="1179"/>
      <c r="Y109" s="443"/>
      <c r="Z109" s="432"/>
      <c r="AB109" s="208" t="b">
        <v>1</v>
      </c>
      <c r="AD109" s="806" t="s">
        <v>671</v>
      </c>
      <c r="AE109" s="801">
        <f>V78</f>
        <v>0</v>
      </c>
      <c r="AF109" s="804" t="b">
        <f>IF(AE109&gt;0,TRUE,FALSE)</f>
        <v>0</v>
      </c>
    </row>
    <row r="110" spans="1:32" ht="15.95" customHeight="1" x14ac:dyDescent="0.2">
      <c r="B110" s="198"/>
      <c r="C110" s="348"/>
      <c r="D110" s="349"/>
      <c r="E110" s="349"/>
      <c r="F110" s="349"/>
      <c r="G110" s="349"/>
      <c r="H110" s="349"/>
      <c r="I110" s="349"/>
      <c r="J110" s="349"/>
      <c r="K110" s="349"/>
      <c r="L110" s="349"/>
      <c r="M110" s="349"/>
      <c r="N110" s="349"/>
      <c r="O110" s="349"/>
      <c r="P110" s="349"/>
      <c r="Q110" s="349"/>
      <c r="R110" s="349"/>
      <c r="S110" s="349"/>
      <c r="T110" s="349"/>
      <c r="U110" s="349"/>
      <c r="V110" s="349"/>
      <c r="W110" s="349"/>
      <c r="X110" s="349"/>
      <c r="Y110" s="444"/>
      <c r="Z110" s="432"/>
      <c r="AB110" s="208" t="b">
        <v>1</v>
      </c>
      <c r="AD110" s="806" t="s">
        <v>674</v>
      </c>
      <c r="AE110" s="801">
        <f ca="1">MIN(0,V88)</f>
        <v>0</v>
      </c>
      <c r="AF110" s="804" t="b">
        <f ca="1">IF(AE110&lt;0,TRUE,FALSE)</f>
        <v>0</v>
      </c>
    </row>
    <row r="111" spans="1:32" ht="15" hidden="1" customHeight="1" x14ac:dyDescent="0.2">
      <c r="B111" s="4"/>
      <c r="C111" s="1187" t="str">
        <f ca="1">C6</f>
        <v xml:space="preserve">Version: 24.03 </v>
      </c>
      <c r="D111" s="1188"/>
      <c r="E111" s="1188"/>
      <c r="F111" s="1188"/>
      <c r="G111" s="512"/>
      <c r="H111" s="1089" t="s">
        <v>458</v>
      </c>
      <c r="I111" s="1089"/>
      <c r="J111" s="1089"/>
      <c r="K111" s="1089"/>
      <c r="L111" s="1089"/>
      <c r="M111" s="1089"/>
      <c r="N111" s="1089"/>
      <c r="O111" s="1089"/>
      <c r="P111" s="1089"/>
      <c r="Q111" s="1089"/>
      <c r="R111" s="449"/>
      <c r="S111" s="449"/>
      <c r="T111" s="449"/>
      <c r="U111" s="195"/>
      <c r="V111" s="5"/>
      <c r="W111" s="5"/>
      <c r="X111" s="5"/>
      <c r="Y111" s="435"/>
      <c r="Z111" s="431"/>
      <c r="AB111" s="209" t="b">
        <f>IF(Daten!$G$60=TRUE,TRUE,FALSE)</f>
        <v>0</v>
      </c>
      <c r="AD111" s="806" t="s">
        <v>672</v>
      </c>
      <c r="AE111" s="805">
        <f ca="1">AE109+AE110</f>
        <v>0</v>
      </c>
      <c r="AF111" s="804" t="b">
        <f ca="1">IF(AE111&gt;0,TRUE,FALSE)</f>
        <v>0</v>
      </c>
    </row>
    <row r="112" spans="1:32" ht="15" hidden="1" customHeight="1" x14ac:dyDescent="0.2">
      <c r="B112" s="4"/>
      <c r="C112" s="1189">
        <f ca="1">C7</f>
        <v>45322</v>
      </c>
      <c r="D112" s="1190"/>
      <c r="E112" s="1190"/>
      <c r="F112" s="1190"/>
      <c r="G112" s="511"/>
      <c r="H112" s="1090"/>
      <c r="I112" s="1090"/>
      <c r="J112" s="1090"/>
      <c r="K112" s="1090"/>
      <c r="L112" s="1090"/>
      <c r="M112" s="1090"/>
      <c r="N112" s="1090"/>
      <c r="O112" s="1090"/>
      <c r="P112" s="1090"/>
      <c r="Q112" s="1090"/>
      <c r="R112" s="450"/>
      <c r="S112" s="450"/>
      <c r="T112" s="450"/>
      <c r="U112" s="196"/>
      <c r="V112" s="6"/>
      <c r="W112" s="6"/>
      <c r="X112" s="6"/>
      <c r="Y112" s="436"/>
      <c r="Z112" s="431"/>
      <c r="AB112" s="209" t="b">
        <f>$AB$111</f>
        <v>0</v>
      </c>
      <c r="AD112" s="1237" t="s">
        <v>831</v>
      </c>
      <c r="AE112" s="1238"/>
      <c r="AF112" s="1044" t="b">
        <f ca="1">IF(AND(V74&lt;&gt;"",V74=0),FALSE,IF(OR(V74&lt;&gt;"",V88&lt;0),TRUE,FALSE))</f>
        <v>0</v>
      </c>
    </row>
    <row r="113" spans="2:32" ht="18" hidden="1" customHeight="1" x14ac:dyDescent="0.2">
      <c r="B113" s="4"/>
      <c r="C113" s="524" t="s">
        <v>459</v>
      </c>
      <c r="D113" s="129"/>
      <c r="E113" s="129"/>
      <c r="F113" s="129"/>
      <c r="G113" s="129"/>
      <c r="H113" s="129"/>
      <c r="I113" s="129"/>
      <c r="J113" s="129"/>
      <c r="K113" s="129"/>
      <c r="L113" s="129"/>
      <c r="M113" s="129"/>
      <c r="N113" s="129"/>
      <c r="O113" s="129"/>
      <c r="P113" s="129"/>
      <c r="Q113" s="129"/>
      <c r="R113" s="129"/>
      <c r="S113" s="129"/>
      <c r="T113" s="129"/>
      <c r="U113" s="129"/>
      <c r="V113" s="129"/>
      <c r="W113" s="129"/>
      <c r="X113" s="129"/>
      <c r="Y113" s="425"/>
      <c r="Z113" s="431"/>
      <c r="AB113" s="209" t="b">
        <f>$AB$111</f>
        <v>0</v>
      </c>
      <c r="AD113" s="12"/>
      <c r="AE113" s="12"/>
      <c r="AF113" s="12"/>
    </row>
    <row r="114" spans="2:32" ht="14.1" hidden="1" customHeight="1" x14ac:dyDescent="0.2">
      <c r="B114" s="4"/>
      <c r="C114" s="134"/>
      <c r="D114" s="137" t="str">
        <f>IF(AND(Daten!C4=FALSE,Daten!G60=FALSE),"",UPPER("Zusätzliche Erläuterungen zur Berechnung (Kürzung) des Förderdarlehens"&amp;IF(AND(Daten!$L$16=TRUE,D60&lt;&gt;"")," I","")))</f>
        <v/>
      </c>
      <c r="E114" s="129"/>
      <c r="F114" s="129"/>
      <c r="G114" s="129"/>
      <c r="H114" s="129"/>
      <c r="I114" s="129"/>
      <c r="J114" s="129"/>
      <c r="K114" s="129"/>
      <c r="L114" s="129"/>
      <c r="M114" s="129"/>
      <c r="N114" s="129"/>
      <c r="O114" s="129"/>
      <c r="P114" s="129"/>
      <c r="Q114" s="129"/>
      <c r="R114" s="129"/>
      <c r="S114" s="129"/>
      <c r="T114" s="129"/>
      <c r="U114" s="129"/>
      <c r="V114" s="129"/>
      <c r="W114" s="129"/>
      <c r="X114" s="129"/>
      <c r="Y114" s="425"/>
      <c r="Z114" s="431"/>
      <c r="AB114" s="209" t="b">
        <f>$AB$111</f>
        <v>0</v>
      </c>
      <c r="AD114" s="1081" t="s">
        <v>772</v>
      </c>
      <c r="AE114" s="1081"/>
      <c r="AF114" s="1081"/>
    </row>
    <row r="115" spans="2:32" ht="12.75" hidden="1" customHeight="1" x14ac:dyDescent="0.2">
      <c r="B115" s="4"/>
      <c r="C115" s="134"/>
      <c r="D115" s="129"/>
      <c r="E115" s="129"/>
      <c r="F115" s="129"/>
      <c r="G115" s="129"/>
      <c r="H115" s="129"/>
      <c r="I115" s="129"/>
      <c r="J115" s="129"/>
      <c r="K115" s="129"/>
      <c r="L115" s="129"/>
      <c r="M115" s="129"/>
      <c r="N115" s="129"/>
      <c r="O115" s="129"/>
      <c r="P115" s="129"/>
      <c r="Q115" s="129"/>
      <c r="R115" s="129"/>
      <c r="S115" s="129"/>
      <c r="T115" s="129"/>
      <c r="U115" s="129"/>
      <c r="V115" s="129"/>
      <c r="W115" s="129"/>
      <c r="X115" s="129"/>
      <c r="Y115" s="425"/>
      <c r="Z115" s="431"/>
      <c r="AB115" s="209" t="b">
        <f t="shared" ref="AB115:AB158" si="5">$AB$111</f>
        <v>0</v>
      </c>
      <c r="AD115" s="1081"/>
      <c r="AE115" s="1081"/>
      <c r="AF115" s="1081"/>
    </row>
    <row r="116" spans="2:32" ht="12.75" hidden="1" customHeight="1" x14ac:dyDescent="0.2">
      <c r="B116" s="4"/>
      <c r="C116" s="134"/>
      <c r="D116" s="1186" t="str">
        <f>IF(AND(Daten!$C$4=FALSE,Daten!$G$60=FALSE),"","Das grundsätzlich mögliche Förderdarlehen von "&amp;TEXT(Daten!$B$64,"#.##0,00")&amp;" € / m² ("&amp;TEXT(Daten!$D$61,"#.##0,00")&amp;" €) wurde aufgrund des Vergleichs der jährlichen Deckungsbeiträge (vor Beginn der Maßnahme und hinterher) um "&amp;TEXT(Daten!$B$64-Daten!$D$56,"#.##0,00")&amp;" € / m² auf "&amp;TEXT(Daten!$D$56,"#.##0,00")&amp;" € / m² ("&amp;TEXT(Daten!D47,"#.##0,00")&amp;" €) gekürzt."&amp;" Die Ermittlung der Kürzung stellt sich wie folgt dar:")</f>
        <v/>
      </c>
      <c r="E116" s="1186"/>
      <c r="F116" s="1186"/>
      <c r="G116" s="1186"/>
      <c r="H116" s="1186"/>
      <c r="I116" s="1186"/>
      <c r="J116" s="1186"/>
      <c r="K116" s="1186"/>
      <c r="L116" s="1186"/>
      <c r="M116" s="1186"/>
      <c r="N116" s="1186"/>
      <c r="O116" s="1186"/>
      <c r="P116" s="1186"/>
      <c r="Q116" s="1186"/>
      <c r="R116" s="1186"/>
      <c r="S116" s="1186"/>
      <c r="T116" s="1186"/>
      <c r="U116" s="1186"/>
      <c r="V116" s="1186"/>
      <c r="W116" s="1186"/>
      <c r="X116" s="1186"/>
      <c r="Y116" s="425"/>
      <c r="Z116" s="431"/>
      <c r="AB116" s="209" t="b">
        <f t="shared" si="5"/>
        <v>0</v>
      </c>
      <c r="AD116" s="802" t="s">
        <v>8</v>
      </c>
      <c r="AE116" s="946" t="s">
        <v>766</v>
      </c>
      <c r="AF116" s="802" t="s">
        <v>7</v>
      </c>
    </row>
    <row r="117" spans="2:32" ht="12.75" hidden="1" customHeight="1" x14ac:dyDescent="0.2">
      <c r="B117" s="4"/>
      <c r="C117" s="134"/>
      <c r="D117" s="1186"/>
      <c r="E117" s="1186"/>
      <c r="F117" s="1186"/>
      <c r="G117" s="1186"/>
      <c r="H117" s="1186"/>
      <c r="I117" s="1186"/>
      <c r="J117" s="1186"/>
      <c r="K117" s="1186"/>
      <c r="L117" s="1186"/>
      <c r="M117" s="1186"/>
      <c r="N117" s="1186"/>
      <c r="O117" s="1186"/>
      <c r="P117" s="1186"/>
      <c r="Q117" s="1186"/>
      <c r="R117" s="1186"/>
      <c r="S117" s="1186"/>
      <c r="T117" s="1186"/>
      <c r="U117" s="1186"/>
      <c r="V117" s="1186"/>
      <c r="W117" s="1186"/>
      <c r="X117" s="1186"/>
      <c r="Y117" s="425"/>
      <c r="Z117" s="431"/>
      <c r="AB117" s="209" t="b">
        <f t="shared" si="5"/>
        <v>0</v>
      </c>
      <c r="AD117" s="1082" t="s">
        <v>768</v>
      </c>
      <c r="AE117" s="1083"/>
      <c r="AF117" s="1084"/>
    </row>
    <row r="118" spans="2:32" ht="12.75" hidden="1" customHeight="1" x14ac:dyDescent="0.2">
      <c r="B118" s="4"/>
      <c r="C118" s="134"/>
      <c r="D118" s="1186"/>
      <c r="E118" s="1186"/>
      <c r="F118" s="1186"/>
      <c r="G118" s="1186"/>
      <c r="H118" s="1186"/>
      <c r="I118" s="1186"/>
      <c r="J118" s="1186"/>
      <c r="K118" s="1186"/>
      <c r="L118" s="1186"/>
      <c r="M118" s="1186"/>
      <c r="N118" s="1186"/>
      <c r="O118" s="1186"/>
      <c r="P118" s="1186"/>
      <c r="Q118" s="1186"/>
      <c r="R118" s="1186"/>
      <c r="S118" s="1186"/>
      <c r="T118" s="1186"/>
      <c r="U118" s="1186"/>
      <c r="V118" s="1186"/>
      <c r="W118" s="1186"/>
      <c r="X118" s="1186"/>
      <c r="Y118" s="425"/>
      <c r="Z118" s="431"/>
      <c r="AB118" s="209" t="b">
        <f t="shared" si="5"/>
        <v>0</v>
      </c>
      <c r="AD118" s="941">
        <f>J27</f>
        <v>0</v>
      </c>
      <c r="AE118" s="942">
        <f>AF118</f>
        <v>0</v>
      </c>
      <c r="AF118" s="940">
        <f>Daten!C91</f>
        <v>0</v>
      </c>
    </row>
    <row r="119" spans="2:32" ht="12.75" hidden="1" customHeight="1" x14ac:dyDescent="0.2">
      <c r="B119" s="4"/>
      <c r="C119" s="134"/>
      <c r="D119" s="1186"/>
      <c r="E119" s="1186"/>
      <c r="F119" s="1186"/>
      <c r="G119" s="1186"/>
      <c r="H119" s="1186"/>
      <c r="I119" s="1186"/>
      <c r="J119" s="1186"/>
      <c r="K119" s="1186"/>
      <c r="L119" s="1186"/>
      <c r="M119" s="1186"/>
      <c r="N119" s="1186"/>
      <c r="O119" s="1186"/>
      <c r="P119" s="1186"/>
      <c r="Q119" s="1186"/>
      <c r="R119" s="1186"/>
      <c r="S119" s="1186"/>
      <c r="T119" s="1186"/>
      <c r="U119" s="1186"/>
      <c r="V119" s="1186"/>
      <c r="W119" s="1186"/>
      <c r="X119" s="1186"/>
      <c r="Y119" s="425"/>
      <c r="Z119" s="431"/>
      <c r="AB119" s="209" t="b">
        <f t="shared" si="5"/>
        <v>0</v>
      </c>
      <c r="AD119" s="1085" t="s">
        <v>769</v>
      </c>
      <c r="AE119" s="1085"/>
      <c r="AF119" s="1085"/>
    </row>
    <row r="120" spans="2:32" ht="12.75" hidden="1" customHeight="1" x14ac:dyDescent="0.2">
      <c r="B120" s="4"/>
      <c r="C120" s="134"/>
      <c r="D120" s="129"/>
      <c r="E120" s="129"/>
      <c r="F120" s="129"/>
      <c r="G120" s="129"/>
      <c r="H120" s="129"/>
      <c r="I120" s="129"/>
      <c r="J120" s="129"/>
      <c r="K120" s="129"/>
      <c r="L120" s="129"/>
      <c r="M120" s="129"/>
      <c r="N120" s="129"/>
      <c r="O120" s="129"/>
      <c r="P120" s="129"/>
      <c r="Q120" s="129"/>
      <c r="R120" s="129"/>
      <c r="S120" s="129"/>
      <c r="T120" s="167"/>
      <c r="U120" s="167"/>
      <c r="V120" s="172"/>
      <c r="W120" s="172"/>
      <c r="X120" s="172"/>
      <c r="Y120" s="425"/>
      <c r="Z120" s="431"/>
      <c r="AB120" s="209" t="b">
        <f t="shared" si="5"/>
        <v>0</v>
      </c>
      <c r="AD120" s="945">
        <f>J28</f>
        <v>0</v>
      </c>
      <c r="AE120" s="947">
        <f>MIN(AF120,MAX(0,AF118+AF120-AD118))</f>
        <v>0</v>
      </c>
      <c r="AF120" s="944">
        <f>Daten!C92</f>
        <v>0</v>
      </c>
    </row>
    <row r="121" spans="2:32" ht="12.75" hidden="1" customHeight="1" x14ac:dyDescent="0.2">
      <c r="B121" s="4"/>
      <c r="C121" s="134"/>
      <c r="D121" s="1184" t="str">
        <f>IF(AND(Daten!C4=FALSE,Daten!G60=FALSE),"","Darstellung der Objektwirtschaftlichkeit bei maximal möglicher Förderung")</f>
        <v/>
      </c>
      <c r="E121" s="1184"/>
      <c r="F121" s="1184"/>
      <c r="G121" s="1184"/>
      <c r="H121" s="1184"/>
      <c r="I121" s="1184"/>
      <c r="J121" s="1184"/>
      <c r="K121" s="1184"/>
      <c r="L121" s="1184"/>
      <c r="M121" s="1184"/>
      <c r="N121" s="1184"/>
      <c r="O121" s="1184"/>
      <c r="P121" s="1184"/>
      <c r="Q121" s="1184"/>
      <c r="R121" s="1184"/>
      <c r="S121" s="1184"/>
      <c r="T121" s="1184"/>
      <c r="U121" s="1184"/>
      <c r="V121" s="1184"/>
      <c r="W121" s="1184"/>
      <c r="X121" s="1184"/>
      <c r="Y121" s="425"/>
      <c r="Z121" s="431"/>
      <c r="AB121" s="209" t="b">
        <f t="shared" si="5"/>
        <v>0</v>
      </c>
      <c r="AD121" s="1085" t="str">
        <f>IF(Daten!$L$17=TRUE,"3. EK-Grenze","Freie WE")</f>
        <v>3. EK-Grenze</v>
      </c>
      <c r="AE121" s="1085"/>
      <c r="AF121" s="1085"/>
    </row>
    <row r="122" spans="2:32" ht="12.75" hidden="1" customHeight="1" x14ac:dyDescent="0.2">
      <c r="B122" s="4"/>
      <c r="C122" s="134"/>
      <c r="D122" s="129"/>
      <c r="E122" s="129"/>
      <c r="F122" s="129"/>
      <c r="G122" s="129"/>
      <c r="H122" s="129"/>
      <c r="I122" s="129"/>
      <c r="J122" s="129"/>
      <c r="K122" s="129"/>
      <c r="L122" s="129"/>
      <c r="M122" s="129"/>
      <c r="N122" s="129"/>
      <c r="O122" s="129"/>
      <c r="P122" s="129"/>
      <c r="Q122" s="129"/>
      <c r="R122" s="129"/>
      <c r="S122" s="129"/>
      <c r="T122" s="129"/>
      <c r="U122" s="129"/>
      <c r="V122" s="129"/>
      <c r="W122" s="129"/>
      <c r="X122" s="129"/>
      <c r="Y122" s="425"/>
      <c r="Z122" s="431"/>
      <c r="AB122" s="209" t="b">
        <f t="shared" si="5"/>
        <v>0</v>
      </c>
      <c r="AD122" s="945">
        <f>J29</f>
        <v>0</v>
      </c>
      <c r="AE122" s="945">
        <f>MAX(0,MIN(AF122,MAX(0,AF118+AF120+AF122-AD118-AD120)))</f>
        <v>0</v>
      </c>
      <c r="AF122" s="942">
        <f>Daten!C93</f>
        <v>0</v>
      </c>
    </row>
    <row r="123" spans="2:32" ht="12.75" hidden="1" customHeight="1" x14ac:dyDescent="0.2">
      <c r="B123" s="4"/>
      <c r="C123" s="134"/>
      <c r="D123" s="129" t="str">
        <f>IF(AND(Daten!C4=FALSE,Daten!G60=FALSE),"","Mieteinnahmen p. a.:")</f>
        <v/>
      </c>
      <c r="E123" s="129"/>
      <c r="F123" s="129"/>
      <c r="G123" s="129"/>
      <c r="H123" s="129"/>
      <c r="I123" s="129"/>
      <c r="J123" s="129"/>
      <c r="K123" s="129"/>
      <c r="L123" s="129"/>
      <c r="M123" s="129"/>
      <c r="N123" s="129"/>
      <c r="O123" s="1214" t="str">
        <f>IF(AND(Daten!$C$4=FALSE,Daten!$G$60=FALSE),"",Daten!$G$38)</f>
        <v/>
      </c>
      <c r="P123" s="1214"/>
      <c r="Q123" s="1214"/>
      <c r="R123" s="129"/>
      <c r="S123" s="137" t="str">
        <f>IF(AND(Daten!C4=FALSE,Daten!G60=FALSE),"","Vergleich")</f>
        <v/>
      </c>
      <c r="T123" s="173"/>
      <c r="U123" s="173"/>
      <c r="V123" s="173"/>
      <c r="W123" s="173"/>
      <c r="X123" s="172"/>
      <c r="Y123" s="425"/>
      <c r="Z123" s="431"/>
      <c r="AB123" s="209" t="b">
        <f t="shared" si="5"/>
        <v>0</v>
      </c>
      <c r="AD123" s="1085" t="s">
        <v>767</v>
      </c>
      <c r="AE123" s="1085"/>
      <c r="AF123" s="1085"/>
    </row>
    <row r="124" spans="2:32" ht="12.75" hidden="1" customHeight="1" x14ac:dyDescent="0.2">
      <c r="B124" s="4"/>
      <c r="C124" s="134"/>
      <c r="D124" s="129"/>
      <c r="E124" s="129"/>
      <c r="F124" s="129"/>
      <c r="G124" s="129"/>
      <c r="H124" s="129"/>
      <c r="I124" s="129"/>
      <c r="J124" s="129"/>
      <c r="K124" s="129"/>
      <c r="L124" s="129"/>
      <c r="M124" s="129"/>
      <c r="N124" s="129"/>
      <c r="O124" s="129"/>
      <c r="P124" s="129"/>
      <c r="Q124" s="129"/>
      <c r="R124" s="129"/>
      <c r="S124" s="1217" t="str">
        <f>IF(OR(AB82=FALSE,AND(Daten!C4=FALSE,Daten!G60=FALSE)),"","Jährlicher Deckungsbeitrag vor Beginn der Maßnahme:"&amp;CHAR(10)&amp;TEXT(IF(AND(Daten!$M$3=TRUE,$U$83="Ja"),AF100,V84),"#.##0,00")&amp;" EUR"&amp;CHAR(10)&amp;CHAR(10)&amp;"Abzgl. pauschaler Bewirtschaftungskosten:"&amp;CHAR(10)&amp;TEXT(SUM(V67:X70),"#.##0,00")&amp;" EUR")</f>
        <v/>
      </c>
      <c r="T124" s="1217"/>
      <c r="U124" s="1217"/>
      <c r="V124" s="1217"/>
      <c r="W124" s="1217"/>
      <c r="X124" s="1218"/>
      <c r="Y124" s="425"/>
      <c r="Z124" s="431"/>
      <c r="AB124" s="209" t="b">
        <f t="shared" si="5"/>
        <v>0</v>
      </c>
      <c r="AD124" s="948">
        <f>AD118+AD120+AD122</f>
        <v>0</v>
      </c>
      <c r="AE124" s="943">
        <f>AF124</f>
        <v>0</v>
      </c>
      <c r="AF124" s="943">
        <f>IF(AF130=FALSE,K18,AF118+AF120+AF122)</f>
        <v>0</v>
      </c>
    </row>
    <row r="125" spans="2:32" ht="12.75" hidden="1" customHeight="1" x14ac:dyDescent="0.2">
      <c r="B125" s="4"/>
      <c r="C125" s="134"/>
      <c r="D125" s="129" t="str">
        <f>IF(AND(Daten!C4=FALSE,Daten!G60=FALSE),"","./. abzgl. Kapitaldienst p. a. aus bereits bestehenden Finanzierungen:")</f>
        <v/>
      </c>
      <c r="E125" s="129"/>
      <c r="F125" s="129"/>
      <c r="G125" s="129"/>
      <c r="H125" s="129"/>
      <c r="I125" s="129"/>
      <c r="J125" s="129"/>
      <c r="K125" s="129"/>
      <c r="L125" s="129"/>
      <c r="M125" s="129"/>
      <c r="N125" s="129"/>
      <c r="O125" s="1214" t="str">
        <f>IF(AND(Daten!$C$4=FALSE,Daten!$G$60=FALSE),"",Daten!$G$44)</f>
        <v/>
      </c>
      <c r="P125" s="1214"/>
      <c r="Q125" s="1214"/>
      <c r="R125" s="129"/>
      <c r="S125" s="1217"/>
      <c r="T125" s="1217"/>
      <c r="U125" s="1217"/>
      <c r="V125" s="1217"/>
      <c r="W125" s="1217"/>
      <c r="X125" s="1218"/>
      <c r="Y125" s="425"/>
      <c r="Z125" s="431"/>
      <c r="AB125" s="209" t="b">
        <f t="shared" si="5"/>
        <v>0</v>
      </c>
      <c r="AD125" s="1085" t="s">
        <v>770</v>
      </c>
      <c r="AE125" s="1085"/>
      <c r="AF125" s="1085"/>
    </row>
    <row r="126" spans="2:32" ht="12.75" hidden="1" customHeight="1" x14ac:dyDescent="0.2">
      <c r="B126" s="4"/>
      <c r="C126" s="134"/>
      <c r="D126" s="129"/>
      <c r="E126" s="129"/>
      <c r="F126" s="129"/>
      <c r="G126" s="129"/>
      <c r="H126" s="129"/>
      <c r="I126" s="129"/>
      <c r="J126" s="129"/>
      <c r="K126" s="129"/>
      <c r="L126" s="129"/>
      <c r="M126" s="129"/>
      <c r="N126" s="129"/>
      <c r="O126" s="129"/>
      <c r="P126" s="129"/>
      <c r="Q126" s="129"/>
      <c r="R126" s="129"/>
      <c r="S126" s="1217"/>
      <c r="T126" s="1217"/>
      <c r="U126" s="1217"/>
      <c r="V126" s="1217"/>
      <c r="W126" s="1217"/>
      <c r="X126" s="1218"/>
      <c r="Y126" s="425"/>
      <c r="Z126" s="431"/>
      <c r="AB126" s="209" t="b">
        <f t="shared" si="5"/>
        <v>0</v>
      </c>
      <c r="AD126" s="946" t="str">
        <f>AD117</f>
        <v>1. EK-Grenze</v>
      </c>
      <c r="AE126" s="946" t="str">
        <f>AD119</f>
        <v>2. EK-Grenze</v>
      </c>
      <c r="AF126" s="946" t="str">
        <f>AD121</f>
        <v>3. EK-Grenze</v>
      </c>
    </row>
    <row r="127" spans="2:32" ht="12.75" hidden="1" customHeight="1" x14ac:dyDescent="0.2">
      <c r="B127" s="4"/>
      <c r="C127" s="134"/>
      <c r="D127" s="129" t="str">
        <f>IF(AND(Daten!C4=FALSE,Daten!G60=FALSE),"","./. abzgl. Kapitaldienst p. a. neu (bei voller Förderung i. H. v. "&amp;TEXT(Daten!$D$61,"#.##0,00")&amp;" €):")</f>
        <v/>
      </c>
      <c r="E127" s="129"/>
      <c r="F127" s="129"/>
      <c r="G127" s="129"/>
      <c r="H127" s="129"/>
      <c r="I127" s="129"/>
      <c r="J127" s="129"/>
      <c r="K127" s="129"/>
      <c r="L127" s="320"/>
      <c r="M127" s="129"/>
      <c r="N127" s="129"/>
      <c r="O127" s="1214" t="str">
        <f>IF(AND(Daten!$C$4=FALSE,Daten!$G$60=FALSE),"",SUM(Daten!$G$61:$G$63))</f>
        <v/>
      </c>
      <c r="P127" s="1214"/>
      <c r="Q127" s="1214"/>
      <c r="R127" s="129"/>
      <c r="S127" s="1217"/>
      <c r="T127" s="1217"/>
      <c r="U127" s="1217"/>
      <c r="V127" s="1217"/>
      <c r="W127" s="1217"/>
      <c r="X127" s="1218"/>
      <c r="Y127" s="425"/>
      <c r="Z127" s="431"/>
      <c r="AB127" s="209" t="b">
        <f t="shared" si="5"/>
        <v>0</v>
      </c>
      <c r="AD127" s="939" t="b">
        <f>IF(AND(AD118&gt;=AF118,AE118&gt;=0),TRUE,FALSE)</f>
        <v>1</v>
      </c>
      <c r="AE127" s="939" t="b">
        <f>IF(AND(AE120=0,OR(J28=0,J28="")),TRUE,IF(AND(AD118+AD120&gt;=AF118+AF120,AE120&gt;=0),TRUE,FALSE))</f>
        <v>1</v>
      </c>
      <c r="AF127" s="939" t="b">
        <f>IF(OR(AF130=FALSE,AND(AD124=AF124,AE122&gt;=0)),TRUE,FALSE)</f>
        <v>1</v>
      </c>
    </row>
    <row r="128" spans="2:32" ht="12.75" hidden="1" customHeight="1" x14ac:dyDescent="0.2">
      <c r="B128" s="4"/>
      <c r="C128" s="134"/>
      <c r="D128" s="129"/>
      <c r="E128" s="129"/>
      <c r="F128" s="129"/>
      <c r="G128" s="129"/>
      <c r="H128" s="129"/>
      <c r="I128" s="129"/>
      <c r="J128" s="129"/>
      <c r="K128" s="129"/>
      <c r="L128" s="129"/>
      <c r="M128" s="129"/>
      <c r="N128" s="129"/>
      <c r="O128" s="129"/>
      <c r="P128" s="129"/>
      <c r="Q128" s="129"/>
      <c r="R128" s="129"/>
      <c r="S128" s="1217"/>
      <c r="T128" s="1217"/>
      <c r="U128" s="1217"/>
      <c r="V128" s="1217"/>
      <c r="W128" s="1217"/>
      <c r="X128" s="1218"/>
      <c r="Y128" s="425"/>
      <c r="Z128" s="431"/>
      <c r="AB128" s="209" t="b">
        <f t="shared" si="5"/>
        <v>0</v>
      </c>
      <c r="AD128" s="942" t="str">
        <f>IF(OR($K$17="",$K$18="",$K$19=""),"",TEXT(AE118,"#.##0")&amp;" WE")</f>
        <v/>
      </c>
      <c r="AE128" s="942" t="str">
        <f>IF(OR($K$17="",$K$18="",$K$19=""),"",TEXT(AE120,"#.##0")&amp;" WE")</f>
        <v/>
      </c>
      <c r="AF128" s="942" t="str">
        <f>IF(OR($K$17="",$K$18="",$K$19=""),"",TEXT(AE122,"#.##0")&amp;" WE")</f>
        <v/>
      </c>
    </row>
    <row r="129" spans="2:32" ht="12.75" hidden="1" customHeight="1" x14ac:dyDescent="0.2">
      <c r="B129" s="4"/>
      <c r="C129" s="134"/>
      <c r="D129" s="129" t="str">
        <f>IF(AND(Daten!C4=FALSE,Daten!G60=FALSE),"","./. abzgl. Eigenkapitalverzinsung p. a.:")</f>
        <v/>
      </c>
      <c r="E129" s="129"/>
      <c r="F129" s="129"/>
      <c r="G129" s="129"/>
      <c r="H129" s="129"/>
      <c r="I129" s="129"/>
      <c r="J129" s="129"/>
      <c r="K129" s="129"/>
      <c r="L129" s="129"/>
      <c r="M129" s="129"/>
      <c r="N129" s="129"/>
      <c r="O129" s="1214" t="str">
        <f>IF(AND(Daten!$C$4=FALSE,Daten!$G$60=FALSE),"",Daten!$G$48)</f>
        <v/>
      </c>
      <c r="P129" s="1214"/>
      <c r="Q129" s="1214"/>
      <c r="R129" s="129"/>
      <c r="S129" s="1217"/>
      <c r="T129" s="1217"/>
      <c r="U129" s="1217"/>
      <c r="V129" s="1217"/>
      <c r="W129" s="1217"/>
      <c r="X129" s="1218"/>
      <c r="Y129" s="425"/>
      <c r="Z129" s="431"/>
      <c r="AB129" s="209" t="b">
        <f t="shared" si="5"/>
        <v>0</v>
      </c>
      <c r="AD129" s="1086" t="str">
        <f>IF(AND(AF130=TRUE,AF124&gt;AD124),IF(AF124-AD124=1,"… es fehlt 1 WE!","… es fehlen "&amp;TEXT(AF124-AD124,"#.##")&amp;" WE!"),IF(AD124&gt;AF124,IF(AD124-AF124=1," … es ist 1 WE zuviel!","… es sind "&amp;TEXT(AD124-AF124,"#.##")&amp;" WE zuviel!"),""))</f>
        <v/>
      </c>
      <c r="AE129" s="1086"/>
      <c r="AF129" s="1086"/>
    </row>
    <row r="130" spans="2:32" ht="12.75" hidden="1" customHeight="1" x14ac:dyDescent="0.2">
      <c r="B130" s="4"/>
      <c r="C130" s="134"/>
      <c r="D130" s="129"/>
      <c r="E130" s="129"/>
      <c r="F130" s="129"/>
      <c r="G130" s="129"/>
      <c r="H130" s="129"/>
      <c r="I130" s="129"/>
      <c r="J130" s="129"/>
      <c r="K130" s="129"/>
      <c r="L130" s="129"/>
      <c r="M130" s="129"/>
      <c r="N130" s="129"/>
      <c r="O130" s="129"/>
      <c r="P130" s="129"/>
      <c r="Q130" s="129"/>
      <c r="R130" s="129"/>
      <c r="S130" s="1215" t="str">
        <f>IF(AND(Daten!C4=FALSE,Daten!G60=FALSE),"","ò")</f>
        <v/>
      </c>
      <c r="T130" s="1215"/>
      <c r="U130" s="1215"/>
      <c r="V130" s="1215"/>
      <c r="W130" s="173"/>
      <c r="X130" s="129"/>
      <c r="Y130" s="425"/>
      <c r="Z130" s="431"/>
      <c r="AB130" s="209" t="b">
        <f t="shared" si="5"/>
        <v>0</v>
      </c>
      <c r="AD130" s="1105" t="s">
        <v>839</v>
      </c>
      <c r="AE130" s="1106"/>
      <c r="AF130" s="1053" t="b">
        <f>IF(OR(Daten!$M$4=TRUE,AND(Daten!$M$3=TRUE,Grunddaten!$H$72=TRUE)),TRUE,FALSE)</f>
        <v>0</v>
      </c>
    </row>
    <row r="131" spans="2:32" ht="12.75" hidden="1" customHeight="1" x14ac:dyDescent="0.2">
      <c r="B131" s="4"/>
      <c r="C131" s="134"/>
      <c r="D131" s="129" t="str">
        <f>IF(AND(Daten!C4=FALSE,Daten!G60=FALSE),"","./. abzgl. pauschale Bewirtschaftungskosten p. a.:")</f>
        <v/>
      </c>
      <c r="E131" s="129"/>
      <c r="F131" s="129"/>
      <c r="G131" s="129"/>
      <c r="H131" s="129"/>
      <c r="I131" s="129"/>
      <c r="J131" s="129"/>
      <c r="K131" s="129"/>
      <c r="L131" s="129"/>
      <c r="M131" s="129"/>
      <c r="N131" s="129"/>
      <c r="O131" s="1214" t="str">
        <f>IF(AND(Daten!C4=FALSE,Daten!G60=FALSE),"",SUM(V67:X69))</f>
        <v/>
      </c>
      <c r="P131" s="1214"/>
      <c r="Q131" s="1214"/>
      <c r="R131" s="129"/>
      <c r="S131" s="1215"/>
      <c r="T131" s="1215"/>
      <c r="U131" s="1215"/>
      <c r="V131" s="1215"/>
      <c r="W131" s="173"/>
      <c r="X131" s="129"/>
      <c r="Y131" s="425"/>
      <c r="Z131" s="431"/>
      <c r="AB131" s="209" t="b">
        <f t="shared" si="5"/>
        <v>0</v>
      </c>
    </row>
    <row r="132" spans="2:32" ht="12.75" hidden="1" customHeight="1" x14ac:dyDescent="0.2">
      <c r="B132" s="4"/>
      <c r="C132" s="134"/>
      <c r="D132" s="129"/>
      <c r="E132" s="129"/>
      <c r="F132" s="129"/>
      <c r="G132" s="129"/>
      <c r="H132" s="129"/>
      <c r="I132" s="129"/>
      <c r="J132" s="129"/>
      <c r="K132" s="129"/>
      <c r="L132" s="129"/>
      <c r="M132" s="129"/>
      <c r="N132" s="129"/>
      <c r="O132" s="129"/>
      <c r="P132" s="129"/>
      <c r="Q132" s="129"/>
      <c r="R132" s="129"/>
      <c r="S132" s="1215"/>
      <c r="T132" s="1215"/>
      <c r="U132" s="1215"/>
      <c r="V132" s="1215"/>
      <c r="W132" s="129"/>
      <c r="X132" s="129"/>
      <c r="Y132" s="425"/>
      <c r="Z132" s="431"/>
      <c r="AB132" s="209" t="b">
        <f t="shared" si="5"/>
        <v>0</v>
      </c>
      <c r="AD132" s="1081" t="s">
        <v>771</v>
      </c>
      <c r="AE132" s="1081"/>
      <c r="AF132" s="1081"/>
    </row>
    <row r="133" spans="2:32" ht="12.75" hidden="1" customHeight="1" thickBot="1" x14ac:dyDescent="0.25">
      <c r="B133" s="4"/>
      <c r="C133" s="134"/>
      <c r="D133" s="282" t="str">
        <f>IF(AND(Daten!C4=FALSE,Daten!G60=FALSE),"","= Jährlicher Deckungsbeitrag (bei voller Förderung):")</f>
        <v/>
      </c>
      <c r="E133" s="129"/>
      <c r="F133" s="129"/>
      <c r="G133" s="129"/>
      <c r="H133" s="129"/>
      <c r="I133" s="129"/>
      <c r="J133" s="129"/>
      <c r="K133" s="129"/>
      <c r="L133" s="129"/>
      <c r="M133" s="129"/>
      <c r="N133" s="129"/>
      <c r="O133" s="1178" t="str">
        <f>IF(AND(Daten!C4=FALSE,Daten!G60=FALSE),"",O123-SUM(O125,O127,O129,O131))</f>
        <v/>
      </c>
      <c r="P133" s="1178"/>
      <c r="Q133" s="1178"/>
      <c r="R133" s="315" t="str">
        <f>IF(O133="","","NEU")</f>
        <v/>
      </c>
      <c r="S133" s="1178" t="str">
        <f>IF(AND(Daten!C4=FALSE,Daten!G60=FALSE),"",IF(AB82=FALSE,0,IF(AND(Daten!$M$3=TRUE,$U$83="Ja"),AF100,V84)-SUM(V67:X69)))</f>
        <v/>
      </c>
      <c r="T133" s="1178"/>
      <c r="U133" s="1178"/>
      <c r="V133" s="1178"/>
      <c r="W133" s="315" t="str">
        <f>IF(S133="","","ALT")</f>
        <v/>
      </c>
      <c r="X133" s="129"/>
      <c r="Y133" s="425"/>
      <c r="Z133" s="431"/>
      <c r="AB133" s="209" t="b">
        <f t="shared" si="5"/>
        <v>0</v>
      </c>
      <c r="AD133" s="1081"/>
      <c r="AE133" s="1081"/>
      <c r="AF133" s="1081"/>
    </row>
    <row r="134" spans="2:32" ht="12.75" hidden="1" customHeight="1" thickTop="1" x14ac:dyDescent="0.2">
      <c r="B134" s="4"/>
      <c r="C134" s="134"/>
      <c r="D134" s="129"/>
      <c r="E134" s="129"/>
      <c r="F134" s="129"/>
      <c r="G134" s="129"/>
      <c r="H134" s="129"/>
      <c r="I134" s="129"/>
      <c r="J134" s="129"/>
      <c r="K134" s="129"/>
      <c r="L134" s="129"/>
      <c r="M134" s="129"/>
      <c r="N134" s="129"/>
      <c r="O134" s="129"/>
      <c r="P134" s="129"/>
      <c r="Q134" s="129"/>
      <c r="R134" s="129"/>
      <c r="S134" s="129"/>
      <c r="T134" s="129"/>
      <c r="U134" s="129"/>
      <c r="V134" s="129"/>
      <c r="W134" s="129"/>
      <c r="X134" s="129"/>
      <c r="Y134" s="425"/>
      <c r="Z134" s="431"/>
      <c r="AB134" s="209" t="b">
        <f t="shared" si="5"/>
        <v>0</v>
      </c>
      <c r="AD134" s="802" t="s">
        <v>8</v>
      </c>
      <c r="AE134" s="946" t="s">
        <v>766</v>
      </c>
      <c r="AF134" s="802" t="s">
        <v>7</v>
      </c>
    </row>
    <row r="135" spans="2:32" ht="12.75" hidden="1" customHeight="1" thickBot="1" x14ac:dyDescent="0.25">
      <c r="B135" s="4"/>
      <c r="C135" s="134"/>
      <c r="D135" s="282" t="str">
        <f>IF(AND(Daten!C4=FALSE,Daten!G60=FALSE),"","∆ Differenz jährlicher Deckungsbeitrag ALT zu NEU (≙ monatlicher Kürzungsbetrag):")</f>
        <v/>
      </c>
      <c r="E135" s="129"/>
      <c r="F135" s="129"/>
      <c r="G135" s="129"/>
      <c r="H135" s="129"/>
      <c r="I135" s="129"/>
      <c r="J135" s="129"/>
      <c r="K135" s="129"/>
      <c r="L135" s="129"/>
      <c r="M135" s="129"/>
      <c r="N135" s="129"/>
      <c r="O135" s="1178" t="str">
        <f>IF(AND(Daten!C4=FALSE,Daten!G60=FALSE),"",IF(AB82=FALSE,0,O133-S133))</f>
        <v/>
      </c>
      <c r="P135" s="1178"/>
      <c r="Q135" s="1178"/>
      <c r="R135" s="1178"/>
      <c r="S135" s="1178"/>
      <c r="T135" s="1178"/>
      <c r="U135" s="1178"/>
      <c r="V135" s="1178"/>
      <c r="W135" s="129"/>
      <c r="X135" s="129"/>
      <c r="Y135" s="425"/>
      <c r="Z135" s="431"/>
      <c r="AB135" s="209" t="b">
        <f t="shared" si="5"/>
        <v>0</v>
      </c>
      <c r="AD135" s="1082" t="s">
        <v>768</v>
      </c>
      <c r="AE135" s="1083"/>
      <c r="AF135" s="1084"/>
    </row>
    <row r="136" spans="2:32" ht="12.75" hidden="1" customHeight="1" thickTop="1" x14ac:dyDescent="0.2">
      <c r="B136" s="4"/>
      <c r="C136" s="134"/>
      <c r="D136" s="129"/>
      <c r="E136" s="129"/>
      <c r="F136" s="129"/>
      <c r="G136" s="129"/>
      <c r="H136" s="129"/>
      <c r="I136" s="129"/>
      <c r="J136" s="129"/>
      <c r="K136" s="129"/>
      <c r="L136" s="129"/>
      <c r="M136" s="129"/>
      <c r="N136" s="129"/>
      <c r="O136" s="129"/>
      <c r="P136" s="129"/>
      <c r="Q136" s="129"/>
      <c r="R136" s="129"/>
      <c r="S136" s="129"/>
      <c r="T136" s="129"/>
      <c r="U136" s="129"/>
      <c r="V136" s="129"/>
      <c r="W136" s="129"/>
      <c r="X136" s="129"/>
      <c r="Y136" s="425"/>
      <c r="Z136" s="431"/>
      <c r="AB136" s="209" t="b">
        <f t="shared" si="5"/>
        <v>0</v>
      </c>
      <c r="AD136" s="1024">
        <f>L27</f>
        <v>0</v>
      </c>
      <c r="AE136" s="1021">
        <f>AF136</f>
        <v>0</v>
      </c>
      <c r="AF136" s="1024">
        <f>ROUND(Daten!D91,2)</f>
        <v>0</v>
      </c>
    </row>
    <row r="137" spans="2:32" ht="12.75" hidden="1" customHeight="1" x14ac:dyDescent="0.2">
      <c r="B137" s="4"/>
      <c r="C137" s="134"/>
      <c r="D137" s="129"/>
      <c r="E137" s="129"/>
      <c r="F137" s="129"/>
      <c r="G137" s="129"/>
      <c r="H137" s="129"/>
      <c r="I137" s="129"/>
      <c r="J137" s="129"/>
      <c r="K137" s="129"/>
      <c r="L137" s="129"/>
      <c r="M137" s="129"/>
      <c r="N137" s="129"/>
      <c r="O137" s="129"/>
      <c r="P137" s="129"/>
      <c r="Q137" s="129"/>
      <c r="R137" s="129"/>
      <c r="S137" s="129"/>
      <c r="T137" s="129"/>
      <c r="U137" s="129"/>
      <c r="V137" s="129"/>
      <c r="W137" s="129"/>
      <c r="X137" s="129"/>
      <c r="Y137" s="425"/>
      <c r="Z137" s="431"/>
      <c r="AB137" s="209" t="b">
        <f t="shared" si="5"/>
        <v>0</v>
      </c>
      <c r="AD137" s="1085" t="s">
        <v>769</v>
      </c>
      <c r="AE137" s="1085"/>
      <c r="AF137" s="1085"/>
    </row>
    <row r="138" spans="2:32" ht="12.75" hidden="1" customHeight="1" x14ac:dyDescent="0.2">
      <c r="B138" s="4"/>
      <c r="C138" s="134"/>
      <c r="D138" s="1186" t="str">
        <f>IF(AND(Daten!$C$4=FALSE,Daten!$G$60=FALSE),"",IF(AND(V85&lt;V88,O135&lt;0),"Der jährliche Deckungsbeitrag nach Maßnahmedurchführung ("&amp;TEXT(V88,"#.##0,00")&amp;" €) ist bereits ohne Nutzung eines Förderdarlehens größer, als der Deckungsbeitrag vor Beginn der Maßnahme ("&amp;TEXT(V85,"#.##0,00")&amp;" €). Damit kann kein leider kein entsprechendes Förderdarlehen gewährt werden.","Der jährliche Deckungsbeitrag nach der Förderung ("&amp;TEXT(O133,"#.##0,00")&amp;" €) muss um ca. "&amp;TEXT(O133-S133,"#.##0,00")&amp;" € reduziert werden, damit sich die Objektwirtschaftlichkeit nach Abschluss der Maßnahme nicht besser darstellt, als vorher ("&amp;TEXT(S133,"#.##0,00")&amp;" €)."&amp;" Erreicht wird dies durch die Erhöhung der Kapitalkosten zu Lasten der Förderung (Reduzierung Förderdarlehen und Erhöhung "&amp;CHAR(34)&amp;"Notwendige Restfinanzierung"&amp;CHAR(34)&amp;")."))</f>
        <v/>
      </c>
      <c r="E138" s="1186"/>
      <c r="F138" s="1186"/>
      <c r="G138" s="1186"/>
      <c r="H138" s="1186"/>
      <c r="I138" s="1186"/>
      <c r="J138" s="1186"/>
      <c r="K138" s="1186"/>
      <c r="L138" s="1186"/>
      <c r="M138" s="1186"/>
      <c r="N138" s="1186"/>
      <c r="O138" s="1186"/>
      <c r="P138" s="1186"/>
      <c r="Q138" s="1186"/>
      <c r="R138" s="1186"/>
      <c r="S138" s="1186"/>
      <c r="T138" s="1186"/>
      <c r="U138" s="1186"/>
      <c r="V138" s="1186"/>
      <c r="W138" s="1186"/>
      <c r="X138" s="1186"/>
      <c r="Y138" s="425"/>
      <c r="Z138" s="431"/>
      <c r="AB138" s="209" t="b">
        <f t="shared" si="5"/>
        <v>0</v>
      </c>
      <c r="AD138" s="1021">
        <f>L28</f>
        <v>0</v>
      </c>
      <c r="AE138" s="1023">
        <f>MIN(AF138,MAX(0,AF136+AF138-AD136))</f>
        <v>0</v>
      </c>
      <c r="AF138" s="1023">
        <f>ROUND(Daten!D92,2)</f>
        <v>0</v>
      </c>
    </row>
    <row r="139" spans="2:32" ht="12.75" hidden="1" customHeight="1" x14ac:dyDescent="0.2">
      <c r="B139" s="4"/>
      <c r="C139" s="134"/>
      <c r="D139" s="1186"/>
      <c r="E139" s="1186"/>
      <c r="F139" s="1186"/>
      <c r="G139" s="1186"/>
      <c r="H139" s="1186"/>
      <c r="I139" s="1186"/>
      <c r="J139" s="1186"/>
      <c r="K139" s="1186"/>
      <c r="L139" s="1186"/>
      <c r="M139" s="1186"/>
      <c r="N139" s="1186"/>
      <c r="O139" s="1186"/>
      <c r="P139" s="1186"/>
      <c r="Q139" s="1186"/>
      <c r="R139" s="1186"/>
      <c r="S139" s="1186"/>
      <c r="T139" s="1186"/>
      <c r="U139" s="1186"/>
      <c r="V139" s="1186"/>
      <c r="W139" s="1186"/>
      <c r="X139" s="1186"/>
      <c r="Y139" s="425"/>
      <c r="Z139" s="431"/>
      <c r="AB139" s="209" t="b">
        <f t="shared" si="5"/>
        <v>0</v>
      </c>
      <c r="AD139" s="1085" t="str">
        <f>IF(Daten!$L$17=TRUE,"3. EK-Grenze","Freie WE")</f>
        <v>3. EK-Grenze</v>
      </c>
      <c r="AE139" s="1085"/>
      <c r="AF139" s="1085"/>
    </row>
    <row r="140" spans="2:32" ht="12.75" hidden="1" customHeight="1" x14ac:dyDescent="0.2">
      <c r="B140" s="4"/>
      <c r="C140" s="134"/>
      <c r="D140" s="1186"/>
      <c r="E140" s="1186"/>
      <c r="F140" s="1186"/>
      <c r="G140" s="1186"/>
      <c r="H140" s="1186"/>
      <c r="I140" s="1186"/>
      <c r="J140" s="1186"/>
      <c r="K140" s="1186"/>
      <c r="L140" s="1186"/>
      <c r="M140" s="1186"/>
      <c r="N140" s="1186"/>
      <c r="O140" s="1186"/>
      <c r="P140" s="1186"/>
      <c r="Q140" s="1186"/>
      <c r="R140" s="1186"/>
      <c r="S140" s="1186"/>
      <c r="T140" s="1186"/>
      <c r="U140" s="1186"/>
      <c r="V140" s="1186"/>
      <c r="W140" s="1186"/>
      <c r="X140" s="1186"/>
      <c r="Y140" s="425"/>
      <c r="Z140" s="431"/>
      <c r="AB140" s="209" t="b">
        <f t="shared" si="5"/>
        <v>0</v>
      </c>
      <c r="AD140" s="1021">
        <f>L29</f>
        <v>0</v>
      </c>
      <c r="AE140" s="1021">
        <f>MIN(AF140,MAX(0,AF136+AF138+AF140-AD136-AD138))</f>
        <v>0</v>
      </c>
      <c r="AF140" s="1021">
        <f>ROUND(Daten!D93,2)</f>
        <v>0</v>
      </c>
    </row>
    <row r="141" spans="2:32" ht="12.75" hidden="1" customHeight="1" x14ac:dyDescent="0.2">
      <c r="B141" s="4"/>
      <c r="C141" s="134"/>
      <c r="D141" s="1186"/>
      <c r="E141" s="1186"/>
      <c r="F141" s="1186"/>
      <c r="G141" s="1186"/>
      <c r="H141" s="1186"/>
      <c r="I141" s="1186"/>
      <c r="J141" s="1186"/>
      <c r="K141" s="1186"/>
      <c r="L141" s="1186"/>
      <c r="M141" s="1186"/>
      <c r="N141" s="1186"/>
      <c r="O141" s="1186"/>
      <c r="P141" s="1186"/>
      <c r="Q141" s="1186"/>
      <c r="R141" s="1186"/>
      <c r="S141" s="1186"/>
      <c r="T141" s="1186"/>
      <c r="U141" s="1186"/>
      <c r="V141" s="1186"/>
      <c r="W141" s="1186"/>
      <c r="X141" s="1186"/>
      <c r="Y141" s="425"/>
      <c r="Z141" s="431"/>
      <c r="AB141" s="209" t="b">
        <f t="shared" si="5"/>
        <v>0</v>
      </c>
      <c r="AD141" s="1085" t="s">
        <v>767</v>
      </c>
      <c r="AE141" s="1085"/>
      <c r="AF141" s="1085"/>
    </row>
    <row r="142" spans="2:32" ht="12.75" hidden="1" customHeight="1" x14ac:dyDescent="0.2">
      <c r="B142" s="4"/>
      <c r="C142" s="134"/>
      <c r="D142" s="129"/>
      <c r="E142" s="129"/>
      <c r="F142" s="129"/>
      <c r="G142" s="129"/>
      <c r="H142" s="129"/>
      <c r="I142" s="129"/>
      <c r="J142" s="129"/>
      <c r="K142" s="129"/>
      <c r="L142" s="129"/>
      <c r="M142" s="129"/>
      <c r="N142" s="129"/>
      <c r="O142" s="129"/>
      <c r="P142" s="129"/>
      <c r="Q142" s="129"/>
      <c r="R142" s="129"/>
      <c r="S142" s="129"/>
      <c r="T142" s="129"/>
      <c r="U142" s="129"/>
      <c r="V142" s="129"/>
      <c r="W142" s="129"/>
      <c r="X142" s="129"/>
      <c r="Y142" s="425"/>
      <c r="Z142" s="431"/>
      <c r="AB142" s="209" t="b">
        <f t="shared" si="5"/>
        <v>0</v>
      </c>
      <c r="AD142" s="1022">
        <f>AD136+AD138+AD140</f>
        <v>0</v>
      </c>
      <c r="AE142" s="1022">
        <f>AF142</f>
        <v>0</v>
      </c>
      <c r="AF142" s="1022">
        <f>AF136+AF138+AF140</f>
        <v>0</v>
      </c>
    </row>
    <row r="143" spans="2:32" ht="12.75" hidden="1" customHeight="1" x14ac:dyDescent="0.2">
      <c r="B143" s="4"/>
      <c r="C143" s="134"/>
      <c r="D143" s="1184" t="str">
        <f>IF(AND(Daten!C4=FALSE,Daten!G60=FALSE),"","Darstellung der Objektwirtschaftlichkeit bei reduzierter Förderung")</f>
        <v/>
      </c>
      <c r="E143" s="1184"/>
      <c r="F143" s="1184"/>
      <c r="G143" s="1184"/>
      <c r="H143" s="1184"/>
      <c r="I143" s="1184"/>
      <c r="J143" s="1184"/>
      <c r="K143" s="1184"/>
      <c r="L143" s="1184"/>
      <c r="M143" s="1184"/>
      <c r="N143" s="1184"/>
      <c r="O143" s="1184"/>
      <c r="P143" s="1184"/>
      <c r="Q143" s="1184"/>
      <c r="R143" s="1184"/>
      <c r="S143" s="1184"/>
      <c r="T143" s="1184"/>
      <c r="U143" s="1184"/>
      <c r="V143" s="1184"/>
      <c r="W143" s="1184"/>
      <c r="X143" s="1184"/>
      <c r="Y143" s="425"/>
      <c r="Z143" s="431"/>
      <c r="AB143" s="209" t="b">
        <f t="shared" si="5"/>
        <v>0</v>
      </c>
      <c r="AD143" s="1085" t="s">
        <v>770</v>
      </c>
      <c r="AE143" s="1085"/>
      <c r="AF143" s="1085"/>
    </row>
    <row r="144" spans="2:32" ht="12.75" hidden="1" customHeight="1" x14ac:dyDescent="0.2">
      <c r="B144" s="4"/>
      <c r="C144" s="134"/>
      <c r="D144" s="129"/>
      <c r="E144" s="129"/>
      <c r="F144" s="129"/>
      <c r="G144" s="129"/>
      <c r="H144" s="129"/>
      <c r="I144" s="129"/>
      <c r="J144" s="129"/>
      <c r="K144" s="129"/>
      <c r="L144" s="129"/>
      <c r="M144" s="129"/>
      <c r="N144" s="129"/>
      <c r="O144" s="129"/>
      <c r="P144" s="129"/>
      <c r="Q144" s="129"/>
      <c r="R144" s="129"/>
      <c r="S144" s="129"/>
      <c r="T144" s="129"/>
      <c r="U144" s="129"/>
      <c r="V144" s="129"/>
      <c r="W144" s="129"/>
      <c r="X144" s="129"/>
      <c r="Y144" s="425"/>
      <c r="Z144" s="431"/>
      <c r="AB144" s="209" t="b">
        <f t="shared" si="5"/>
        <v>0</v>
      </c>
      <c r="AD144" s="946" t="str">
        <f>AD135</f>
        <v>1. EK-Grenze</v>
      </c>
      <c r="AE144" s="946" t="str">
        <f>AD137</f>
        <v>2. EK-Grenze</v>
      </c>
      <c r="AF144" s="946" t="str">
        <f>AD139</f>
        <v>3. EK-Grenze</v>
      </c>
    </row>
    <row r="145" spans="2:32" ht="12.75" hidden="1" customHeight="1" x14ac:dyDescent="0.2">
      <c r="B145" s="4"/>
      <c r="C145" s="134"/>
      <c r="D145" s="129" t="str">
        <f>IF(AND(Daten!C4=FALSE,Daten!G60=FALSE),"","Mieteinnahmen p. a.:")</f>
        <v/>
      </c>
      <c r="E145" s="129"/>
      <c r="F145" s="129"/>
      <c r="G145" s="129"/>
      <c r="H145" s="129"/>
      <c r="I145" s="129"/>
      <c r="J145" s="129"/>
      <c r="K145" s="129"/>
      <c r="L145" s="129"/>
      <c r="M145" s="129"/>
      <c r="N145" s="129"/>
      <c r="O145" s="1214" t="str">
        <f>IF(AND(Daten!C4=FALSE,Daten!G60=FALSE),"",Daten!G38)</f>
        <v/>
      </c>
      <c r="P145" s="1214"/>
      <c r="Q145" s="1214"/>
      <c r="R145" s="129"/>
      <c r="S145" s="137" t="str">
        <f>IF(AND(Daten!C4=FALSE,Daten!G60=FALSE),"","Vergleich")</f>
        <v/>
      </c>
      <c r="T145" s="173"/>
      <c r="U145" s="173"/>
      <c r="V145" s="173"/>
      <c r="W145" s="173"/>
      <c r="X145" s="129"/>
      <c r="Y145" s="425"/>
      <c r="Z145" s="431"/>
      <c r="AB145" s="209" t="b">
        <f t="shared" si="5"/>
        <v>0</v>
      </c>
      <c r="AD145" s="939" t="b">
        <f>IF(AND(AD136&gt;=AF136,AE118&gt;=0),TRUE,FALSE)</f>
        <v>1</v>
      </c>
      <c r="AE145" s="939" t="b">
        <f>IF(AND(AE138=0,OR(L28=0,L28="")),TRUE,IF(AND(AD136+AD138&gt;=AF136+AF138,AE120&gt;=0),TRUE,FALSE))</f>
        <v>1</v>
      </c>
      <c r="AF145" s="939" t="b">
        <f>IF(AND(AD142=AF142,AE122&gt;=0),TRUE,FALSE)</f>
        <v>1</v>
      </c>
    </row>
    <row r="146" spans="2:32" ht="12.75" hidden="1" customHeight="1" x14ac:dyDescent="0.2">
      <c r="B146" s="4"/>
      <c r="C146" s="134"/>
      <c r="D146" s="129"/>
      <c r="E146" s="129"/>
      <c r="F146" s="129"/>
      <c r="G146" s="129"/>
      <c r="H146" s="129"/>
      <c r="I146" s="129"/>
      <c r="J146" s="129"/>
      <c r="K146" s="129"/>
      <c r="L146" s="129"/>
      <c r="M146" s="129"/>
      <c r="N146" s="129"/>
      <c r="O146" s="129"/>
      <c r="P146" s="129"/>
      <c r="Q146" s="129"/>
      <c r="R146" s="129"/>
      <c r="S146" s="1217" t="str">
        <f>IF(OR(AB82=FALSE,AND(Daten!C4=FALSE,Daten!G60=FALSE)),"","Jährlicher Deckungsbeitrag vor Beginn der Maßnahme:"&amp;CHAR(10)&amp;TEXT(IF(AND(Daten!$M$3=TRUE,$U$83="Ja"),AF100,V84),"#.##0,00")&amp;" EUR"&amp;CHAR(10)&amp;CHAR(10)&amp;"Abzgl. pauschaler Bewirtschaftungskosten "&amp;CHAR(10)&amp;TEXT(SUM(V67:X70),"#.##0,00")&amp;" EUR")</f>
        <v/>
      </c>
      <c r="T146" s="1217"/>
      <c r="U146" s="1217"/>
      <c r="V146" s="1217"/>
      <c r="W146" s="1217"/>
      <c r="X146" s="1218"/>
      <c r="Y146" s="425"/>
      <c r="Z146" s="431"/>
      <c r="AB146" s="209" t="b">
        <f t="shared" si="5"/>
        <v>0</v>
      </c>
      <c r="AD146" s="1021" t="str">
        <f>IF(OR($K$17="",$K$18="",$K$19=""),"",TEXT(AE136,"#.##0,00")&amp;" m²")</f>
        <v/>
      </c>
      <c r="AE146" s="1021" t="str">
        <f>IF(OR($K$17="",$K$18="",$K$19=""),"",TEXT(AE138,"#.##0,00")&amp;" m²")</f>
        <v/>
      </c>
      <c r="AF146" s="1021" t="str">
        <f>IF(OR($K$17="",$K$18="",$K$19=""),"",TEXT(AE140,"#.##0,00")&amp;" m²")</f>
        <v/>
      </c>
    </row>
    <row r="147" spans="2:32" ht="12.75" hidden="1" customHeight="1" x14ac:dyDescent="0.2">
      <c r="B147" s="4"/>
      <c r="C147" s="134"/>
      <c r="D147" s="129" t="str">
        <f>IF(AND(Daten!C4=FALSE,Daten!G60=FALSE),"","./. abzgl. Kapitaldienst p. a. aus bereits bestehenden Finanzierungen:")</f>
        <v/>
      </c>
      <c r="E147" s="129"/>
      <c r="F147" s="129"/>
      <c r="G147" s="129"/>
      <c r="H147" s="129"/>
      <c r="I147" s="129"/>
      <c r="J147" s="129"/>
      <c r="K147" s="129"/>
      <c r="L147" s="129"/>
      <c r="M147" s="129"/>
      <c r="N147" s="129"/>
      <c r="O147" s="1214" t="str">
        <f>IF(AND(Daten!C4=FALSE,Daten!G60=FALSE),"",Daten!G44)</f>
        <v/>
      </c>
      <c r="P147" s="1214"/>
      <c r="Q147" s="1214"/>
      <c r="R147" s="129"/>
      <c r="S147" s="1217"/>
      <c r="T147" s="1217"/>
      <c r="U147" s="1217"/>
      <c r="V147" s="1217"/>
      <c r="W147" s="1217"/>
      <c r="X147" s="1218"/>
      <c r="Y147" s="425"/>
      <c r="Z147" s="431"/>
      <c r="AB147" s="209" t="b">
        <f t="shared" si="5"/>
        <v>0</v>
      </c>
      <c r="AD147" s="1086" t="str">
        <f>IF(AF142&gt;AD142,"… es fehlen "&amp;TEXT(AF142-AD142,"#.##0,00")&amp;" m²!",IF(AD142&gt;AF142,"… es sind "&amp;TEXT(AD142-AF142,"#.##0,00")&amp;" m² zuviel!",""))</f>
        <v/>
      </c>
      <c r="AE147" s="1086"/>
      <c r="AF147" s="1086"/>
    </row>
    <row r="148" spans="2:32" ht="12.75" hidden="1" customHeight="1" x14ac:dyDescent="0.2">
      <c r="B148" s="4"/>
      <c r="C148" s="134"/>
      <c r="D148" s="129"/>
      <c r="E148" s="129"/>
      <c r="F148" s="129"/>
      <c r="G148" s="129"/>
      <c r="H148" s="129"/>
      <c r="I148" s="129"/>
      <c r="J148" s="129"/>
      <c r="K148" s="129"/>
      <c r="L148" s="129"/>
      <c r="M148" s="129"/>
      <c r="N148" s="129"/>
      <c r="O148" s="129"/>
      <c r="P148" s="129"/>
      <c r="Q148" s="129"/>
      <c r="R148" s="129"/>
      <c r="S148" s="1217"/>
      <c r="T148" s="1217"/>
      <c r="U148" s="1217"/>
      <c r="V148" s="1217"/>
      <c r="W148" s="1217"/>
      <c r="X148" s="1218"/>
      <c r="Y148" s="425"/>
      <c r="Z148" s="431"/>
      <c r="AB148" s="209" t="b">
        <f t="shared" si="5"/>
        <v>0</v>
      </c>
      <c r="AD148" s="12"/>
      <c r="AE148" s="12"/>
      <c r="AF148" s="12"/>
    </row>
    <row r="149" spans="2:32" ht="12.75" hidden="1" customHeight="1" x14ac:dyDescent="0.2">
      <c r="B149" s="4"/>
      <c r="C149" s="134"/>
      <c r="D149" s="129" t="str">
        <f>IF(AND(Daten!C4=FALSE,Daten!G60=FALSE),"","./. abzgl. Kapitaldienst p. a. neu (nach Kürzung der Förderung auf "&amp;TEXT(Daten!D47,"#.##0,00")&amp;" €):")</f>
        <v/>
      </c>
      <c r="E149" s="129"/>
      <c r="F149" s="129"/>
      <c r="G149" s="129"/>
      <c r="H149" s="129"/>
      <c r="I149" s="129"/>
      <c r="J149" s="129"/>
      <c r="K149" s="129"/>
      <c r="L149" s="129"/>
      <c r="M149" s="129"/>
      <c r="N149" s="129"/>
      <c r="O149" s="1214" t="str">
        <f>IF(AND(Daten!C4=FALSE,Daten!G60=FALSE),"",SUM(V59:X63))</f>
        <v/>
      </c>
      <c r="P149" s="1214"/>
      <c r="Q149" s="1214"/>
      <c r="R149" s="129"/>
      <c r="S149" s="1217"/>
      <c r="T149" s="1217"/>
      <c r="U149" s="1217"/>
      <c r="V149" s="1217"/>
      <c r="W149" s="1217"/>
      <c r="X149" s="1218"/>
      <c r="Y149" s="425"/>
      <c r="Z149" s="431"/>
      <c r="AB149" s="209" t="b">
        <f t="shared" si="5"/>
        <v>0</v>
      </c>
      <c r="AD149" s="1045"/>
      <c r="AF149" s="1045"/>
    </row>
    <row r="150" spans="2:32" ht="12.75" hidden="1" customHeight="1" x14ac:dyDescent="0.2">
      <c r="B150" s="4"/>
      <c r="C150" s="134"/>
      <c r="D150" s="129"/>
      <c r="E150" s="129"/>
      <c r="F150" s="129"/>
      <c r="G150" s="129"/>
      <c r="H150" s="129"/>
      <c r="I150" s="129"/>
      <c r="J150" s="129"/>
      <c r="K150" s="129"/>
      <c r="L150" s="129"/>
      <c r="M150" s="129"/>
      <c r="N150" s="129"/>
      <c r="O150" s="129"/>
      <c r="P150" s="129"/>
      <c r="Q150" s="129"/>
      <c r="R150" s="129"/>
      <c r="S150" s="1217"/>
      <c r="T150" s="1217"/>
      <c r="U150" s="1217"/>
      <c r="V150" s="1217"/>
      <c r="W150" s="1217"/>
      <c r="X150" s="1218"/>
      <c r="Y150" s="425"/>
      <c r="Z150" s="431"/>
      <c r="AB150" s="209" t="b">
        <f t="shared" si="5"/>
        <v>0</v>
      </c>
      <c r="AD150" s="1239" t="s">
        <v>837</v>
      </c>
      <c r="AE150" s="1239"/>
      <c r="AF150" s="1239"/>
    </row>
    <row r="151" spans="2:32" ht="12.75" hidden="1" customHeight="1" x14ac:dyDescent="0.2">
      <c r="B151" s="4"/>
      <c r="C151" s="134"/>
      <c r="D151" s="129" t="str">
        <f>IF(AND(Daten!C4=FALSE,Daten!G60=FALSE),"","./. abzgl. Eigenkapitalverzinsung p. a.:")</f>
        <v/>
      </c>
      <c r="E151" s="129"/>
      <c r="F151" s="129"/>
      <c r="G151" s="129"/>
      <c r="H151" s="129"/>
      <c r="I151" s="129"/>
      <c r="J151" s="129"/>
      <c r="K151" s="129"/>
      <c r="L151" s="129"/>
      <c r="M151" s="129"/>
      <c r="N151" s="129"/>
      <c r="O151" s="1214" t="str">
        <f>IF(AND(Daten!C4=FALSE,Daten!G60=FALSE),"",V76+V77)</f>
        <v/>
      </c>
      <c r="P151" s="1214"/>
      <c r="Q151" s="1214"/>
      <c r="R151" s="129"/>
      <c r="S151" s="1217"/>
      <c r="T151" s="1217"/>
      <c r="U151" s="1217"/>
      <c r="V151" s="1217"/>
      <c r="W151" s="1217"/>
      <c r="X151" s="1218"/>
      <c r="Y151" s="425"/>
      <c r="Z151" s="431"/>
      <c r="AB151" s="209" t="b">
        <f t="shared" si="5"/>
        <v>0</v>
      </c>
      <c r="AD151" s="1239"/>
      <c r="AE151" s="1239"/>
      <c r="AF151" s="1239"/>
    </row>
    <row r="152" spans="2:32" ht="12.75" hidden="1" customHeight="1" x14ac:dyDescent="0.2">
      <c r="B152" s="4"/>
      <c r="C152" s="134"/>
      <c r="D152" s="129"/>
      <c r="E152" s="129"/>
      <c r="F152" s="129"/>
      <c r="G152" s="129"/>
      <c r="H152" s="129"/>
      <c r="I152" s="129"/>
      <c r="J152" s="129"/>
      <c r="K152" s="129"/>
      <c r="L152" s="129"/>
      <c r="M152" s="129"/>
      <c r="N152" s="129"/>
      <c r="O152" s="129"/>
      <c r="P152" s="129"/>
      <c r="Q152" s="129"/>
      <c r="R152" s="129"/>
      <c r="S152" s="1215" t="str">
        <f>IF(AND(Daten!C4=FALSE,Daten!G60=FALSE),"","ò")</f>
        <v/>
      </c>
      <c r="T152" s="1215"/>
      <c r="U152" s="1215"/>
      <c r="V152" s="1215"/>
      <c r="W152" s="173"/>
      <c r="X152" s="129"/>
      <c r="Y152" s="425"/>
      <c r="Z152" s="431"/>
      <c r="AB152" s="209" t="b">
        <f t="shared" si="5"/>
        <v>0</v>
      </c>
      <c r="AD152" s="1046" t="s">
        <v>832</v>
      </c>
      <c r="AE152" s="1047">
        <f>V74</f>
        <v>0</v>
      </c>
      <c r="AF152" s="1043" t="b">
        <f>IF(AE152=0,TRUE,FALSE)</f>
        <v>1</v>
      </c>
    </row>
    <row r="153" spans="2:32" ht="12.75" hidden="1" customHeight="1" x14ac:dyDescent="0.2">
      <c r="B153" s="4"/>
      <c r="C153" s="134"/>
      <c r="D153" s="129" t="str">
        <f>IF(AND(Daten!C4=FALSE,Daten!G60=FALSE),"","./. abzgl. pauschale Bewirtschaftungskosten p. a.:")</f>
        <v/>
      </c>
      <c r="E153" s="129"/>
      <c r="F153" s="129"/>
      <c r="G153" s="129"/>
      <c r="H153" s="129"/>
      <c r="I153" s="129"/>
      <c r="J153" s="129"/>
      <c r="K153" s="129"/>
      <c r="L153" s="129"/>
      <c r="M153" s="129"/>
      <c r="N153" s="129"/>
      <c r="O153" s="1214" t="str">
        <f>IF(AND(Daten!C4=FALSE,Daten!G60=FALSE),"",SUM(V67:X69))</f>
        <v/>
      </c>
      <c r="P153" s="1214"/>
      <c r="Q153" s="1214"/>
      <c r="R153" s="129"/>
      <c r="S153" s="1215"/>
      <c r="T153" s="1215"/>
      <c r="U153" s="1215"/>
      <c r="V153" s="1215"/>
      <c r="W153" s="173"/>
      <c r="X153" s="129"/>
      <c r="Y153" s="425"/>
      <c r="Z153" s="431"/>
      <c r="AB153" s="209" t="b">
        <f t="shared" si="5"/>
        <v>0</v>
      </c>
      <c r="AD153" s="1046" t="s">
        <v>833</v>
      </c>
      <c r="AE153" s="1048">
        <f ca="1">V88</f>
        <v>0</v>
      </c>
      <c r="AF153" s="1043" t="b">
        <f ca="1">IF(AE153&gt;0,FALSE,TRUE)</f>
        <v>1</v>
      </c>
    </row>
    <row r="154" spans="2:32" ht="12.75" hidden="1" customHeight="1" x14ac:dyDescent="0.2">
      <c r="B154" s="4"/>
      <c r="C154" s="134"/>
      <c r="D154" s="129"/>
      <c r="E154" s="129"/>
      <c r="F154" s="129"/>
      <c r="G154" s="129"/>
      <c r="H154" s="129"/>
      <c r="I154" s="129"/>
      <c r="J154" s="129"/>
      <c r="K154" s="129"/>
      <c r="L154" s="129"/>
      <c r="M154" s="129"/>
      <c r="N154" s="129"/>
      <c r="O154" s="129"/>
      <c r="P154" s="129"/>
      <c r="Q154" s="129"/>
      <c r="R154" s="129"/>
      <c r="S154" s="1215"/>
      <c r="T154" s="1215"/>
      <c r="U154" s="1215"/>
      <c r="V154" s="1215"/>
      <c r="W154" s="129"/>
      <c r="X154" s="129"/>
      <c r="Y154" s="425"/>
      <c r="Z154" s="431"/>
      <c r="AB154" s="209" t="b">
        <f t="shared" si="5"/>
        <v>0</v>
      </c>
      <c r="AD154" s="1046" t="s">
        <v>834</v>
      </c>
      <c r="AE154" s="1050">
        <f>S59%-Grunddaten!$H$58%</f>
        <v>0</v>
      </c>
      <c r="AF154" s="1043" t="b">
        <f>IF(AE154&gt;0,TRUE,FALSE)</f>
        <v>0</v>
      </c>
    </row>
    <row r="155" spans="2:32" ht="12.75" hidden="1" customHeight="1" thickBot="1" x14ac:dyDescent="0.25">
      <c r="B155" s="4"/>
      <c r="C155" s="134"/>
      <c r="D155" s="282" t="str">
        <f>IF(AND(Daten!C4=FALSE,Daten!G60=FALSE),"","= Jährlicher Deckungsbeitrag (bei reduzierter Förderung):")</f>
        <v/>
      </c>
      <c r="E155" s="129"/>
      <c r="F155" s="129"/>
      <c r="G155" s="129"/>
      <c r="H155" s="129"/>
      <c r="I155" s="129"/>
      <c r="J155" s="129"/>
      <c r="K155" s="129"/>
      <c r="L155" s="129"/>
      <c r="M155" s="129"/>
      <c r="N155" s="129"/>
      <c r="O155" s="1216" t="str">
        <f>IF(AND(Daten!C4=FALSE,Daten!G60=FALSE),"",O145-SUM(O147,O149,O151,O153))</f>
        <v/>
      </c>
      <c r="P155" s="1216"/>
      <c r="Q155" s="1216"/>
      <c r="R155" s="315" t="str">
        <f>IF(O155="","","NEU")</f>
        <v/>
      </c>
      <c r="S155" s="1178" t="str">
        <f>IF(AND(Daten!C4=FALSE,Daten!G60=FALSE),"",IF(AB82=FALSE,0,IF(AND(Daten!$M$3=TRUE,$U$83="Ja"),AF100,V84)-SUM(V67:X69)))</f>
        <v/>
      </c>
      <c r="T155" s="1178"/>
      <c r="U155" s="1178"/>
      <c r="V155" s="1178"/>
      <c r="W155" s="315" t="str">
        <f>IF(S155="","","ALT")</f>
        <v/>
      </c>
      <c r="X155" s="129"/>
      <c r="Y155" s="425"/>
      <c r="Z155" s="431"/>
      <c r="AB155" s="209" t="b">
        <f t="shared" si="5"/>
        <v>0</v>
      </c>
      <c r="AD155" s="1046" t="s">
        <v>835</v>
      </c>
      <c r="AE155" s="1050">
        <f>IF(OR(SUM(L59:P60)=0,AE154=0),0,MIN(AE154,ABS((AE153/SUM(L59:P60)))))</f>
        <v>0</v>
      </c>
      <c r="AF155" s="1043" t="b">
        <f>IF(AE155&gt;0,TRUE,FALSE)</f>
        <v>0</v>
      </c>
    </row>
    <row r="156" spans="2:32" ht="12.75" hidden="1" customHeight="1" thickTop="1" x14ac:dyDescent="0.2">
      <c r="B156" s="4"/>
      <c r="C156" s="134"/>
      <c r="D156" s="129"/>
      <c r="E156" s="129"/>
      <c r="F156" s="129"/>
      <c r="G156" s="129"/>
      <c r="H156" s="129"/>
      <c r="I156" s="129"/>
      <c r="J156" s="129"/>
      <c r="K156" s="129"/>
      <c r="L156" s="129"/>
      <c r="M156" s="129"/>
      <c r="N156" s="129"/>
      <c r="O156" s="129"/>
      <c r="P156" s="129"/>
      <c r="Q156" s="129"/>
      <c r="R156" s="129"/>
      <c r="S156" s="129"/>
      <c r="T156" s="129"/>
      <c r="U156" s="129"/>
      <c r="V156" s="129"/>
      <c r="W156" s="129"/>
      <c r="X156" s="129"/>
      <c r="Y156" s="425"/>
      <c r="Z156" s="431"/>
      <c r="AB156" s="209" t="b">
        <f t="shared" si="5"/>
        <v>0</v>
      </c>
      <c r="AD156" s="1046" t="s">
        <v>836</v>
      </c>
      <c r="AE156" s="1050">
        <f>ROUND(S59%-AE155,6)</f>
        <v>0.02</v>
      </c>
      <c r="AF156" s="1049" t="b">
        <f ca="1">IF(AND(COUNTIF(AF152:AF155,TRUE)=4,S59/100&lt;&gt;AE156),TRUE,FALSE)</f>
        <v>0</v>
      </c>
    </row>
    <row r="157" spans="2:32" ht="12.75" hidden="1" customHeight="1" thickBot="1" x14ac:dyDescent="0.25">
      <c r="B157" s="4"/>
      <c r="C157" s="134"/>
      <c r="D157" s="282" t="str">
        <f>IF(AND(Daten!C4=FALSE,Daten!G60=FALSE),"","∆ Differenz jährlicher Deckungsbeitrag alt zu neu (nach reduzierter Förderung):")</f>
        <v/>
      </c>
      <c r="E157" s="129"/>
      <c r="F157" s="129"/>
      <c r="G157" s="129"/>
      <c r="H157" s="129"/>
      <c r="I157" s="129"/>
      <c r="J157" s="129"/>
      <c r="K157" s="129"/>
      <c r="L157" s="129"/>
      <c r="M157" s="129"/>
      <c r="N157" s="129"/>
      <c r="O157" s="1178" t="str">
        <f>IF(AND(Daten!C4=FALSE,Daten!G60=FALSE),"",IF(AB82=FALSE,0,ROUND(O155,2)-ROUND(S155,2)))</f>
        <v/>
      </c>
      <c r="P157" s="1178"/>
      <c r="Q157" s="1178"/>
      <c r="R157" s="1178"/>
      <c r="S157" s="1178"/>
      <c r="T157" s="1178"/>
      <c r="U157" s="1178"/>
      <c r="V157" s="1178"/>
      <c r="W157" s="129"/>
      <c r="X157" s="129"/>
      <c r="Y157" s="425"/>
      <c r="Z157" s="431"/>
      <c r="AB157" s="209" t="b">
        <f t="shared" si="5"/>
        <v>0</v>
      </c>
    </row>
    <row r="158" spans="2:32" ht="18" hidden="1" customHeight="1" thickTop="1" x14ac:dyDescent="0.2">
      <c r="B158" s="4"/>
      <c r="C158" s="174"/>
      <c r="D158" s="152"/>
      <c r="E158" s="152"/>
      <c r="F158" s="152"/>
      <c r="G158" s="152"/>
      <c r="H158" s="152"/>
      <c r="I158" s="152"/>
      <c r="J158" s="152"/>
      <c r="K158" s="152"/>
      <c r="L158" s="152"/>
      <c r="M158" s="152"/>
      <c r="N158" s="152"/>
      <c r="O158" s="152"/>
      <c r="P158" s="152"/>
      <c r="Q158" s="152"/>
      <c r="R158" s="152"/>
      <c r="S158" s="152"/>
      <c r="T158" s="152"/>
      <c r="U158" s="152"/>
      <c r="V158" s="152"/>
      <c r="W158" s="152"/>
      <c r="X158" s="152"/>
      <c r="Y158" s="438"/>
      <c r="Z158" s="431"/>
      <c r="AB158" s="209" t="b">
        <f t="shared" si="5"/>
        <v>0</v>
      </c>
      <c r="AE158" s="1055"/>
    </row>
    <row r="159" spans="2:32" ht="12.75" customHeight="1" x14ac:dyDescent="0.2">
      <c r="B159" s="8"/>
      <c r="C159" s="9"/>
      <c r="D159" s="9"/>
      <c r="E159" s="9"/>
      <c r="F159" s="9"/>
      <c r="G159" s="9"/>
      <c r="H159" s="9"/>
      <c r="I159" s="193"/>
      <c r="J159" s="9"/>
      <c r="K159" s="9"/>
      <c r="L159" s="9"/>
      <c r="M159" s="193"/>
      <c r="N159" s="9"/>
      <c r="O159" s="9"/>
      <c r="P159" s="9"/>
      <c r="Q159" s="9"/>
      <c r="R159" s="9"/>
      <c r="S159" s="9"/>
      <c r="T159" s="9"/>
      <c r="U159" s="193"/>
      <c r="V159" s="9"/>
      <c r="W159" s="9"/>
      <c r="X159" s="9"/>
      <c r="Y159" s="445"/>
      <c r="Z159" s="433"/>
      <c r="AB159" s="208" t="b">
        <v>1</v>
      </c>
    </row>
  </sheetData>
  <sheetProtection algorithmName="SHA-512" hashValue="ltmJpXzRNFBZkcS4To8WtgOUOlb2y1ZvwXLHToiItjMy14IHl4L3ltEvmxJ/KcM66aXTV8i7EOLcbpp0DWy+rQ==" saltValue="FvOmoh1wkdwXQTFgD2c9Wg==" spinCount="100000" sheet="1" objects="1" scenarios="1"/>
  <mergeCells count="224">
    <mergeCell ref="K22:L22"/>
    <mergeCell ref="I53:K53"/>
    <mergeCell ref="AD112:AE112"/>
    <mergeCell ref="AD150:AF151"/>
    <mergeCell ref="AD97:AF99"/>
    <mergeCell ref="AD58:AF58"/>
    <mergeCell ref="AD19:AF19"/>
    <mergeCell ref="AD40:AF41"/>
    <mergeCell ref="AD35:AF35"/>
    <mergeCell ref="O96:U98"/>
    <mergeCell ref="L94:N94"/>
    <mergeCell ref="T49:U49"/>
    <mergeCell ref="T50:U50"/>
    <mergeCell ref="AD79:AF80"/>
    <mergeCell ref="AD27:AF27"/>
    <mergeCell ref="Q60:R60"/>
    <mergeCell ref="V60:X60"/>
    <mergeCell ref="L63:P63"/>
    <mergeCell ref="V58:X58"/>
    <mergeCell ref="S60:U60"/>
    <mergeCell ref="V56:X56"/>
    <mergeCell ref="Q22:W22"/>
    <mergeCell ref="T53:U53"/>
    <mergeCell ref="N18:X20"/>
    <mergeCell ref="S146:X151"/>
    <mergeCell ref="D143:X143"/>
    <mergeCell ref="S124:X129"/>
    <mergeCell ref="L60:P60"/>
    <mergeCell ref="AD12:AF12"/>
    <mergeCell ref="AD94:AF96"/>
    <mergeCell ref="B4:Z4"/>
    <mergeCell ref="AE66:AE68"/>
    <mergeCell ref="AE69:AE71"/>
    <mergeCell ref="AD64:AF65"/>
    <mergeCell ref="D84:U84"/>
    <mergeCell ref="D85:U85"/>
    <mergeCell ref="Q62:R62"/>
    <mergeCell ref="S62:U62"/>
    <mergeCell ref="L62:P62"/>
    <mergeCell ref="D62:K62"/>
    <mergeCell ref="V62:X62"/>
    <mergeCell ref="G70:I70"/>
    <mergeCell ref="V63:X63"/>
    <mergeCell ref="S63:U63"/>
    <mergeCell ref="V80:X80"/>
    <mergeCell ref="L64:P64"/>
    <mergeCell ref="V68:X68"/>
    <mergeCell ref="V69:X69"/>
    <mergeCell ref="V53:X53"/>
    <mergeCell ref="S59:U59"/>
    <mergeCell ref="V61:X61"/>
    <mergeCell ref="V71:X71"/>
    <mergeCell ref="V78:X78"/>
    <mergeCell ref="O157:V157"/>
    <mergeCell ref="O123:Q123"/>
    <mergeCell ref="O125:Q125"/>
    <mergeCell ref="O127:Q127"/>
    <mergeCell ref="O129:Q129"/>
    <mergeCell ref="O133:Q133"/>
    <mergeCell ref="S133:V133"/>
    <mergeCell ref="O135:V135"/>
    <mergeCell ref="O145:Q145"/>
    <mergeCell ref="O147:Q147"/>
    <mergeCell ref="O149:Q149"/>
    <mergeCell ref="O151:Q151"/>
    <mergeCell ref="O131:Q131"/>
    <mergeCell ref="O153:Q153"/>
    <mergeCell ref="S152:V154"/>
    <mergeCell ref="D138:X141"/>
    <mergeCell ref="S130:V132"/>
    <mergeCell ref="O155:Q155"/>
    <mergeCell ref="S155:V155"/>
    <mergeCell ref="C6:F6"/>
    <mergeCell ref="C7:F7"/>
    <mergeCell ref="K17:L17"/>
    <mergeCell ref="K18:L18"/>
    <mergeCell ref="K19:L19"/>
    <mergeCell ref="K20:L20"/>
    <mergeCell ref="N17:X17"/>
    <mergeCell ref="K21:L21"/>
    <mergeCell ref="H6:Q7"/>
    <mergeCell ref="V14:X14"/>
    <mergeCell ref="V15:X15"/>
    <mergeCell ref="G14:S14"/>
    <mergeCell ref="G15:S15"/>
    <mergeCell ref="W21:X21"/>
    <mergeCell ref="S21:T21"/>
    <mergeCell ref="O21:P21"/>
    <mergeCell ref="O107:X109"/>
    <mergeCell ref="L107:N107"/>
    <mergeCell ref="L108:N109"/>
    <mergeCell ref="D104:X105"/>
    <mergeCell ref="J101:K101"/>
    <mergeCell ref="D121:X121"/>
    <mergeCell ref="D108:E108"/>
    <mergeCell ref="D116:X119"/>
    <mergeCell ref="C111:F111"/>
    <mergeCell ref="C112:F112"/>
    <mergeCell ref="J102:K102"/>
    <mergeCell ref="V100:X102"/>
    <mergeCell ref="O100:U102"/>
    <mergeCell ref="J100:K100"/>
    <mergeCell ref="N56:P56"/>
    <mergeCell ref="D59:K59"/>
    <mergeCell ref="D58:U58"/>
    <mergeCell ref="Q59:R59"/>
    <mergeCell ref="G69:I69"/>
    <mergeCell ref="D74:U74"/>
    <mergeCell ref="V67:X67"/>
    <mergeCell ref="Q56:R56"/>
    <mergeCell ref="V70:X70"/>
    <mergeCell ref="Q61:R61"/>
    <mergeCell ref="S61:U61"/>
    <mergeCell ref="D61:K61"/>
    <mergeCell ref="D60:K60"/>
    <mergeCell ref="Q63:R63"/>
    <mergeCell ref="L59:P59"/>
    <mergeCell ref="V59:X59"/>
    <mergeCell ref="S56:U56"/>
    <mergeCell ref="L61:P61"/>
    <mergeCell ref="V64:X64"/>
    <mergeCell ref="G53:H53"/>
    <mergeCell ref="M34:N34"/>
    <mergeCell ref="V27:X27"/>
    <mergeCell ref="M35:N35"/>
    <mergeCell ref="V40:X40"/>
    <mergeCell ref="P48:S48"/>
    <mergeCell ref="P49:S49"/>
    <mergeCell ref="P50:S50"/>
    <mergeCell ref="T48:U48"/>
    <mergeCell ref="P51:S51"/>
    <mergeCell ref="T51:U51"/>
    <mergeCell ref="V49:X49"/>
    <mergeCell ref="V51:X51"/>
    <mergeCell ref="V31:X31"/>
    <mergeCell ref="V42:X42"/>
    <mergeCell ref="G40:H40"/>
    <mergeCell ref="V48:X48"/>
    <mergeCell ref="G52:H52"/>
    <mergeCell ref="I49:K49"/>
    <mergeCell ref="I50:K50"/>
    <mergeCell ref="G49:H49"/>
    <mergeCell ref="G50:H50"/>
    <mergeCell ref="G51:H51"/>
    <mergeCell ref="V50:X50"/>
    <mergeCell ref="T40:U40"/>
    <mergeCell ref="V44:X44"/>
    <mergeCell ref="V43:X43"/>
    <mergeCell ref="I51:K51"/>
    <mergeCell ref="P52:S52"/>
    <mergeCell ref="T52:U52"/>
    <mergeCell ref="G44:H44"/>
    <mergeCell ref="G48:H48"/>
    <mergeCell ref="V52:X52"/>
    <mergeCell ref="I52:K52"/>
    <mergeCell ref="I48:K48"/>
    <mergeCell ref="D91:X92"/>
    <mergeCell ref="G88:I88"/>
    <mergeCell ref="M88:P88"/>
    <mergeCell ref="V84:X84"/>
    <mergeCell ref="J98:K98"/>
    <mergeCell ref="G68:I68"/>
    <mergeCell ref="D83:T83"/>
    <mergeCell ref="D63:K63"/>
    <mergeCell ref="G67:I67"/>
    <mergeCell ref="V96:X98"/>
    <mergeCell ref="V74:X74"/>
    <mergeCell ref="V85:X85"/>
    <mergeCell ref="V83:X83"/>
    <mergeCell ref="J80:L80"/>
    <mergeCell ref="V77:X77"/>
    <mergeCell ref="J97:K97"/>
    <mergeCell ref="V76:X76"/>
    <mergeCell ref="J94:K94"/>
    <mergeCell ref="J96:K96"/>
    <mergeCell ref="V88:X88"/>
    <mergeCell ref="G25:I25"/>
    <mergeCell ref="G27:I27"/>
    <mergeCell ref="G28:I28"/>
    <mergeCell ref="V28:X28"/>
    <mergeCell ref="V29:X29"/>
    <mergeCell ref="V25:X25"/>
    <mergeCell ref="I43:K43"/>
    <mergeCell ref="I44:K44"/>
    <mergeCell ref="AD130:AE130"/>
    <mergeCell ref="F30:H30"/>
    <mergeCell ref="V35:X35"/>
    <mergeCell ref="W30:X30"/>
    <mergeCell ref="T41:U41"/>
    <mergeCell ref="T42:U42"/>
    <mergeCell ref="T43:U43"/>
    <mergeCell ref="T44:U44"/>
    <mergeCell ref="M27:N27"/>
    <mergeCell ref="M28:N28"/>
    <mergeCell ref="M29:N29"/>
    <mergeCell ref="M30:N30"/>
    <mergeCell ref="M32:N32"/>
    <mergeCell ref="V41:X41"/>
    <mergeCell ref="I41:K41"/>
    <mergeCell ref="I42:K42"/>
    <mergeCell ref="AD132:AF133"/>
    <mergeCell ref="AD135:AF135"/>
    <mergeCell ref="AD137:AF137"/>
    <mergeCell ref="AD139:AF139"/>
    <mergeCell ref="AD141:AF141"/>
    <mergeCell ref="AD143:AF143"/>
    <mergeCell ref="AD147:AF147"/>
    <mergeCell ref="G29:I29"/>
    <mergeCell ref="AD114:AF115"/>
    <mergeCell ref="AD119:AF119"/>
    <mergeCell ref="AD121:AF121"/>
    <mergeCell ref="AD117:AF117"/>
    <mergeCell ref="AD123:AF123"/>
    <mergeCell ref="AD125:AF125"/>
    <mergeCell ref="AD129:AF129"/>
    <mergeCell ref="H111:Q112"/>
    <mergeCell ref="AD107:AF108"/>
    <mergeCell ref="D56:L56"/>
    <mergeCell ref="D65:R66"/>
    <mergeCell ref="G41:H41"/>
    <mergeCell ref="G42:H42"/>
    <mergeCell ref="I40:K40"/>
    <mergeCell ref="AD48:AF48"/>
    <mergeCell ref="G43:H43"/>
  </mergeCells>
  <conditionalFormatting sqref="O123:Q123">
    <cfRule type="expression" dxfId="186" priority="209">
      <formula>$O$123=""</formula>
    </cfRule>
  </conditionalFormatting>
  <conditionalFormatting sqref="O125:Q125">
    <cfRule type="expression" dxfId="185" priority="208">
      <formula>$O$125=""</formula>
    </cfRule>
  </conditionalFormatting>
  <conditionalFormatting sqref="O127:Q127">
    <cfRule type="expression" dxfId="184" priority="207">
      <formula>$O$127=""</formula>
    </cfRule>
  </conditionalFormatting>
  <conditionalFormatting sqref="O129:Q129">
    <cfRule type="expression" dxfId="183" priority="206">
      <formula>$O$129=""</formula>
    </cfRule>
  </conditionalFormatting>
  <conditionalFormatting sqref="O131:Q131">
    <cfRule type="expression" dxfId="182" priority="205">
      <formula>$O$131=""</formula>
    </cfRule>
  </conditionalFormatting>
  <conditionalFormatting sqref="O133:Q133">
    <cfRule type="expression" dxfId="181" priority="204">
      <formula>$O$133=""</formula>
    </cfRule>
  </conditionalFormatting>
  <conditionalFormatting sqref="S133:V133">
    <cfRule type="expression" dxfId="180" priority="203">
      <formula>$S$133=""</formula>
    </cfRule>
  </conditionalFormatting>
  <conditionalFormatting sqref="O135:V135">
    <cfRule type="expression" dxfId="179" priority="202">
      <formula>$O$135=""</formula>
    </cfRule>
  </conditionalFormatting>
  <conditionalFormatting sqref="O145:Q145">
    <cfRule type="expression" dxfId="178" priority="201">
      <formula>$O$145&lt;&gt;""</formula>
    </cfRule>
  </conditionalFormatting>
  <conditionalFormatting sqref="O147:Q147">
    <cfRule type="expression" dxfId="177" priority="200">
      <formula>$O$147&lt;&gt;""</formula>
    </cfRule>
  </conditionalFormatting>
  <conditionalFormatting sqref="O149:Q149">
    <cfRule type="expression" dxfId="176" priority="199">
      <formula>$O$149&lt;&gt;""</formula>
    </cfRule>
  </conditionalFormatting>
  <conditionalFormatting sqref="O151:Q151">
    <cfRule type="expression" dxfId="175" priority="198">
      <formula>$O$151&lt;&gt;""</formula>
    </cfRule>
  </conditionalFormatting>
  <conditionalFormatting sqref="O153:Q153">
    <cfRule type="expression" dxfId="174" priority="197">
      <formula>$O$153&lt;&gt;""</formula>
    </cfRule>
  </conditionalFormatting>
  <conditionalFormatting sqref="O155:Q155">
    <cfRule type="expression" dxfId="173" priority="196">
      <formula>$O$155&lt;&gt;""</formula>
    </cfRule>
  </conditionalFormatting>
  <conditionalFormatting sqref="S155:V155">
    <cfRule type="expression" dxfId="172" priority="195">
      <formula>$S$155=""</formula>
    </cfRule>
  </conditionalFormatting>
  <conditionalFormatting sqref="S152">
    <cfRule type="expression" dxfId="171" priority="171">
      <formula>#REF!=TRUE</formula>
    </cfRule>
  </conditionalFormatting>
  <conditionalFormatting sqref="G14:G15">
    <cfRule type="expression" dxfId="170" priority="164">
      <formula>$G14=""</formula>
    </cfRule>
  </conditionalFormatting>
  <conditionalFormatting sqref="J29">
    <cfRule type="expression" dxfId="169" priority="65">
      <formula>OR($AF$127=FALSE,AND($AE$122&gt;0,$G29&lt;&gt;"",$J29=""))</formula>
    </cfRule>
    <cfRule type="expression" dxfId="168" priority="162">
      <formula>$AE$7=TRUE</formula>
    </cfRule>
  </conditionalFormatting>
  <conditionalFormatting sqref="L27">
    <cfRule type="expression" dxfId="167" priority="62">
      <formula>OR($AD$145=FALSE,AND($AE$136&gt;0,$G27&lt;&gt;"",$L27=""))</formula>
    </cfRule>
  </conditionalFormatting>
  <conditionalFormatting sqref="S59">
    <cfRule type="expression" dxfId="166" priority="156">
      <formula>$S$59=""</formula>
    </cfRule>
  </conditionalFormatting>
  <conditionalFormatting sqref="Q63:R63">
    <cfRule type="expression" dxfId="165" priority="155">
      <formula>$Q$63=""</formula>
    </cfRule>
  </conditionalFormatting>
  <conditionalFormatting sqref="S63:T63">
    <cfRule type="expression" dxfId="164" priority="154">
      <formula>$S$63=""</formula>
    </cfRule>
  </conditionalFormatting>
  <conditionalFormatting sqref="K17:L22">
    <cfRule type="expression" dxfId="163" priority="153">
      <formula>AND($D17&lt;&gt;"",$K17="",$AB17=TRUE)</formula>
    </cfRule>
  </conditionalFormatting>
  <conditionalFormatting sqref="V40:X40">
    <cfRule type="expression" dxfId="162" priority="151">
      <formula>$V$40=""</formula>
    </cfRule>
  </conditionalFormatting>
  <conditionalFormatting sqref="J34">
    <cfRule type="expression" dxfId="161" priority="141">
      <formula>AND($D$34&lt;&gt;"",$J$34="")</formula>
    </cfRule>
  </conditionalFormatting>
  <conditionalFormatting sqref="J35">
    <cfRule type="expression" dxfId="160" priority="140">
      <formula>AND($D$35&lt;&gt;"",$J$35="")</formula>
    </cfRule>
  </conditionalFormatting>
  <conditionalFormatting sqref="K21:L21">
    <cfRule type="expression" dxfId="159" priority="133">
      <formula>$D21=""</formula>
    </cfRule>
  </conditionalFormatting>
  <conditionalFormatting sqref="V58:X58">
    <cfRule type="expression" dxfId="158" priority="379">
      <formula>$V$58=""</formula>
    </cfRule>
  </conditionalFormatting>
  <conditionalFormatting sqref="D67">
    <cfRule type="expression" dxfId="157" priority="137">
      <formula>$G$67=""</formula>
    </cfRule>
  </conditionalFormatting>
  <conditionalFormatting sqref="V31:X31">
    <cfRule type="expression" dxfId="156" priority="132">
      <formula>$V$31=""</formula>
    </cfRule>
  </conditionalFormatting>
  <conditionalFormatting sqref="I44 D44">
    <cfRule type="expression" dxfId="155" priority="92">
      <formula>$I$44=0</formula>
    </cfRule>
  </conditionalFormatting>
  <conditionalFormatting sqref="G70:I70">
    <cfRule type="expression" dxfId="154" priority="597">
      <formula>$D$70&lt;&gt;""</formula>
    </cfRule>
    <cfRule type="expression" dxfId="153" priority="598">
      <formula>$D$70=""</formula>
    </cfRule>
  </conditionalFormatting>
  <conditionalFormatting sqref="V70:X70 V71">
    <cfRule type="expression" dxfId="152" priority="621">
      <formula>$U$70&lt;&gt;""</formula>
    </cfRule>
  </conditionalFormatting>
  <conditionalFormatting sqref="D121:X121">
    <cfRule type="expression" dxfId="151" priority="91">
      <formula>$D$121=""</formula>
    </cfRule>
  </conditionalFormatting>
  <conditionalFormatting sqref="D143:X143">
    <cfRule type="expression" dxfId="150" priority="90">
      <formula>$D$143=""</formula>
    </cfRule>
  </conditionalFormatting>
  <conditionalFormatting sqref="V42:X42">
    <cfRule type="expression" dxfId="149" priority="120">
      <formula>$V$42&lt;&gt;""</formula>
    </cfRule>
  </conditionalFormatting>
  <conditionalFormatting sqref="I42">
    <cfRule type="expression" dxfId="148" priority="628">
      <formula>AND($D$42&lt;&gt;"",$I$42&lt;&gt;"")</formula>
    </cfRule>
  </conditionalFormatting>
  <conditionalFormatting sqref="I41">
    <cfRule type="expression" dxfId="147" priority="672">
      <formula>$I$41=""</formula>
    </cfRule>
  </conditionalFormatting>
  <conditionalFormatting sqref="V85:X85">
    <cfRule type="expression" dxfId="146" priority="652" stopIfTrue="1">
      <formula>$D$85=""</formula>
    </cfRule>
  </conditionalFormatting>
  <conditionalFormatting sqref="S62:T62">
    <cfRule type="expression" dxfId="145" priority="86">
      <formula>$S$62=""</formula>
    </cfRule>
  </conditionalFormatting>
  <conditionalFormatting sqref="D62:K62">
    <cfRule type="expression" dxfId="144" priority="73">
      <formula>$AB$62=TRUE</formula>
    </cfRule>
    <cfRule type="expression" dxfId="143" priority="80">
      <formula>AND($D$62="",$L$62&lt;&gt;"")</formula>
    </cfRule>
    <cfRule type="expression" dxfId="142" priority="85">
      <formula>$D$62=""</formula>
    </cfRule>
  </conditionalFormatting>
  <conditionalFormatting sqref="L62:P62">
    <cfRule type="expression" dxfId="141" priority="84">
      <formula>$L$62=""</formula>
    </cfRule>
  </conditionalFormatting>
  <conditionalFormatting sqref="Q62:U62">
    <cfRule type="expression" dxfId="140" priority="82">
      <formula>AND($L$62="",$Q62="")</formula>
    </cfRule>
    <cfRule type="expression" dxfId="139" priority="83">
      <formula>AND($L$62&lt;&gt;"",$Q62="")</formula>
    </cfRule>
  </conditionalFormatting>
  <conditionalFormatting sqref="V43:X43">
    <cfRule type="expression" dxfId="138" priority="76">
      <formula>AND($AB$43=TRUE,$P$43&lt;&gt;"",$V$43&lt;&gt;"")</formula>
    </cfRule>
    <cfRule type="expression" dxfId="137" priority="381">
      <formula>AND($P$43="",$P$42&lt;&gt;"")</formula>
    </cfRule>
  </conditionalFormatting>
  <conditionalFormatting sqref="P48:P49">
    <cfRule type="expression" dxfId="136" priority="74">
      <formula>$P48&lt;&gt;""</formula>
    </cfRule>
    <cfRule type="expression" dxfId="135" priority="75">
      <formula>AND($V48&lt;&gt;"",$V48&gt;0)</formula>
    </cfRule>
    <cfRule type="expression" dxfId="134" priority="136">
      <formula>$P48=""</formula>
    </cfRule>
  </conditionalFormatting>
  <conditionalFormatting sqref="V48:V49">
    <cfRule type="expression" dxfId="133" priority="130">
      <formula>$V48&lt;&gt;""</formula>
    </cfRule>
    <cfRule type="expression" dxfId="132" priority="212">
      <formula>$V48=""</formula>
    </cfRule>
  </conditionalFormatting>
  <conditionalFormatting sqref="D104:X105">
    <cfRule type="expression" dxfId="131" priority="72">
      <formula>$AB$105=TRUE</formula>
    </cfRule>
  </conditionalFormatting>
  <conditionalFormatting sqref="V74:X74">
    <cfRule type="expression" dxfId="130" priority="6">
      <formula>$V$74&lt;&gt;""</formula>
    </cfRule>
    <cfRule type="expression" dxfId="129" priority="69">
      <formula>$V$74&gt;$V$44</formula>
    </cfRule>
    <cfRule type="expression" dxfId="128" priority="70">
      <formula>$V$74&lt;&gt;""</formula>
    </cfRule>
  </conditionalFormatting>
  <conditionalFormatting sqref="L29">
    <cfRule type="expression" dxfId="127" priority="67">
      <formula>OR($AF$145=FALSE,AND($G$27&lt;&gt;"",$L$31&lt;&gt;"",$L$29=""))</formula>
    </cfRule>
    <cfRule type="expression" dxfId="126" priority="161">
      <formula>$AE$7=TRUE</formula>
    </cfRule>
  </conditionalFormatting>
  <conditionalFormatting sqref="AB24">
    <cfRule type="expression" dxfId="125" priority="66">
      <formula>AND($K$18&lt;&gt;"",$J24="")</formula>
    </cfRule>
  </conditionalFormatting>
  <conditionalFormatting sqref="J28">
    <cfRule type="expression" dxfId="124" priority="40">
      <formula>OR($AE$127=FALSE,AND($AE$120&gt;0,$G28&lt;&gt;"",$J28=""))</formula>
    </cfRule>
  </conditionalFormatting>
  <conditionalFormatting sqref="G68:I69">
    <cfRule type="expression" dxfId="123" priority="101">
      <formula>AND($G68="",$V$31&lt;&gt;"",$V$31&gt;0)</formula>
    </cfRule>
    <cfRule type="expression" dxfId="122" priority="126">
      <formula>$G68=""</formula>
    </cfRule>
  </conditionalFormatting>
  <conditionalFormatting sqref="G67:I67">
    <cfRule type="expression" dxfId="121" priority="148">
      <formula>AND($D$67&lt;&gt;"",$G$67="")</formula>
    </cfRule>
    <cfRule type="expression" dxfId="120" priority="150">
      <formula>$D$67=""</formula>
    </cfRule>
  </conditionalFormatting>
  <conditionalFormatting sqref="J27:J29">
    <cfRule type="expression" dxfId="119" priority="63">
      <formula>$J27&lt;&gt;""</formula>
    </cfRule>
  </conditionalFormatting>
  <conditionalFormatting sqref="L27:L29">
    <cfRule type="expression" dxfId="118" priority="21">
      <formula>$L27&lt;&gt;""</formula>
    </cfRule>
  </conditionalFormatting>
  <conditionalFormatting sqref="O96:U97">
    <cfRule type="expression" dxfId="117" priority="57">
      <formula>$AB$96=TRUE</formula>
    </cfRule>
  </conditionalFormatting>
  <conditionalFormatting sqref="V96:X97">
    <cfRule type="expression" dxfId="116" priority="55">
      <formula>$AB$96=TRUE</formula>
    </cfRule>
  </conditionalFormatting>
  <conditionalFormatting sqref="O99:X99">
    <cfRule type="expression" dxfId="115" priority="53">
      <formula>$AB$96=TRUE</formula>
    </cfRule>
  </conditionalFormatting>
  <conditionalFormatting sqref="O103:X103">
    <cfRule type="expression" dxfId="114" priority="52">
      <formula>$AB$100=TRUE</formula>
    </cfRule>
  </conditionalFormatting>
  <conditionalFormatting sqref="Q63:U63">
    <cfRule type="expression" dxfId="113" priority="51">
      <formula>$D$65&lt;&gt;""</formula>
    </cfRule>
  </conditionalFormatting>
  <conditionalFormatting sqref="V15:X15">
    <cfRule type="expression" dxfId="112" priority="48">
      <formula>$V$15=""</formula>
    </cfRule>
  </conditionalFormatting>
  <conditionalFormatting sqref="V52:X52">
    <cfRule type="expression" dxfId="111" priority="47">
      <formula>$P$52&lt;&gt;""</formula>
    </cfRule>
  </conditionalFormatting>
  <conditionalFormatting sqref="J34 L34">
    <cfRule type="expression" dxfId="110" priority="144">
      <formula>$D$34=""</formula>
    </cfRule>
  </conditionalFormatting>
  <conditionalFormatting sqref="J35 L35">
    <cfRule type="expression" dxfId="109" priority="143">
      <formula>$D$35=""</formula>
    </cfRule>
  </conditionalFormatting>
  <conditionalFormatting sqref="L34">
    <cfRule type="expression" dxfId="108" priority="44">
      <formula>AND($D$34&lt;&gt;"",$L$34="")</formula>
    </cfRule>
    <cfRule type="expression" dxfId="107" priority="46">
      <formula>$D$34&lt;&gt;""</formula>
    </cfRule>
  </conditionalFormatting>
  <conditionalFormatting sqref="L35">
    <cfRule type="expression" dxfId="106" priority="43">
      <formula>AND($D$35&lt;&gt;"",$L$35="")</formula>
    </cfRule>
    <cfRule type="expression" dxfId="105" priority="45">
      <formula>$D$35&lt;&gt;""</formula>
    </cfRule>
  </conditionalFormatting>
  <conditionalFormatting sqref="L63:P63 L59:R59 V59:X63 L62 L60:U61 U83 G67:I70">
    <cfRule type="expression" dxfId="104" priority="3">
      <formula>$AD$7=TRUE</formula>
    </cfRule>
  </conditionalFormatting>
  <conditionalFormatting sqref="G14:S15 V15 K17:L22 J27:J29 L27:L29 V27:X29 J34:J35 L34:L35 V31 I40:K43 V40:X42 I48:K51 V58 Q62:U63 D62:P62 V74 V84:X84 V43 P48:P49 V48:X49">
    <cfRule type="expression" dxfId="103" priority="4">
      <formula>$AD$7=TRUE</formula>
    </cfRule>
  </conditionalFormatting>
  <conditionalFormatting sqref="D108:E108">
    <cfRule type="expression" dxfId="102" priority="38">
      <formula>$AD$7=TRUE</formula>
    </cfRule>
    <cfRule type="expression" dxfId="101" priority="39">
      <formula>$D$108=""</formula>
    </cfRule>
  </conditionalFormatting>
  <conditionalFormatting sqref="N22">
    <cfRule type="expression" dxfId="100" priority="33">
      <formula>AND($N$22&lt;&gt;"",$Q$22="",$AB$22=TRUE)</formula>
    </cfRule>
  </conditionalFormatting>
  <conditionalFormatting sqref="Q22:W22">
    <cfRule type="expression" dxfId="99" priority="818">
      <formula>AND($N$22&lt;&gt;"",$AB$22=TRUE)</formula>
    </cfRule>
    <cfRule type="expression" dxfId="98" priority="819">
      <formula>AND($N$22&lt;&gt;"",$Q$22="")</formula>
    </cfRule>
  </conditionalFormatting>
  <conditionalFormatting sqref="V84:X84">
    <cfRule type="expression" dxfId="97" priority="650">
      <formula>AND($D$84&lt;&gt;"",$V$84="",$AB$84=TRUE)</formula>
    </cfRule>
    <cfRule type="expression" dxfId="96" priority="651">
      <formula>AND($D$84&lt;&gt;"",$V$84&lt;&gt;"")</formula>
    </cfRule>
  </conditionalFormatting>
  <conditionalFormatting sqref="U83">
    <cfRule type="expression" dxfId="95" priority="845">
      <formula>AND($D$83&lt;&gt;"",$U$83="",$AB$82=TRUE)</formula>
    </cfRule>
    <cfRule type="expression" dxfId="94" priority="846">
      <formula>AND($D$83&lt;&gt;"",$U$83&lt;&gt;"")</formula>
    </cfRule>
  </conditionalFormatting>
  <conditionalFormatting sqref="V83:X83">
    <cfRule type="expression" dxfId="93" priority="26">
      <formula>OR($U$83="",$U$83="Nein")</formula>
    </cfRule>
  </conditionalFormatting>
  <conditionalFormatting sqref="V29:X29">
    <cfRule type="expression" dxfId="92" priority="484">
      <formula>$V29&lt;&gt;""</formula>
    </cfRule>
    <cfRule type="expression" dxfId="91" priority="898">
      <formula>$AE$7=TRUE</formula>
    </cfRule>
  </conditionalFormatting>
  <conditionalFormatting sqref="O21:P21">
    <cfRule type="expression" dxfId="90" priority="19">
      <formula>OR(AND($N$21&lt;&gt;"",$O$21=""),$AF$13=FALSE)</formula>
    </cfRule>
  </conditionalFormatting>
  <conditionalFormatting sqref="S21:T21">
    <cfRule type="expression" dxfId="89" priority="18">
      <formula>OR($AF$14=FALSE,AND($R$21&lt;&gt;"",$S$21=""))</formula>
    </cfRule>
  </conditionalFormatting>
  <conditionalFormatting sqref="N21">
    <cfRule type="expression" dxfId="88" priority="16">
      <formula>OR(AND($N$21&lt;&gt;"",$O$21=""),$AF$13=FALSE)</formula>
    </cfRule>
  </conditionalFormatting>
  <conditionalFormatting sqref="R21">
    <cfRule type="expression" dxfId="87" priority="15">
      <formula>OR($AF$14=FALSE,AND($R$21&lt;&gt;"",$S$21=""))</formula>
    </cfRule>
  </conditionalFormatting>
  <conditionalFormatting sqref="J27">
    <cfRule type="expression" dxfId="86" priority="20">
      <formula>OR($AD$127=FALSE,AND($AE$118&gt;0,$G27&lt;&gt;"",$J27=""))</formula>
    </cfRule>
  </conditionalFormatting>
  <conditionalFormatting sqref="L28">
    <cfRule type="expression" dxfId="85" priority="11">
      <formula>OR($AE$145=FALSE,AND($AE$138&gt;0,$G28&lt;&gt;"",$L28=""))</formula>
    </cfRule>
  </conditionalFormatting>
  <conditionalFormatting sqref="V27:X27">
    <cfRule type="expression" dxfId="84" priority="22">
      <formula>$V$27&lt;&gt;""</formula>
    </cfRule>
  </conditionalFormatting>
  <conditionalFormatting sqref="V28:X28">
    <cfRule type="expression" dxfId="83" priority="10">
      <formula>$V$28&lt;&gt;""</formula>
    </cfRule>
  </conditionalFormatting>
  <conditionalFormatting sqref="D74:U74">
    <cfRule type="expression" dxfId="82" priority="5">
      <formula>OR($V$74&gt;$V$44,$V$74&lt;0)</formula>
    </cfRule>
    <cfRule type="expression" dxfId="81" priority="71">
      <formula>$V$74&lt;&gt;""</formula>
    </cfRule>
  </conditionalFormatting>
  <conditionalFormatting sqref="K22:L22">
    <cfRule type="expression" dxfId="80" priority="1">
      <formula>AND($D$21&lt;&gt;"",$D$22="")</formula>
    </cfRule>
    <cfRule type="expression" dxfId="79" priority="2">
      <formula>AND($D$21="",$D$22="")</formula>
    </cfRule>
  </conditionalFormatting>
  <dataValidations xWindow="734" yWindow="540" count="8">
    <dataValidation type="list" allowBlank="1" errorTitle="Lage Förderungsobjekt" error="Bitte wählen Sie hier ob es sich um eine Gemeinde im engeren Verpflechtungsraum von Berlin handelt oder nicht. Wählen Sie hierfür &quot;Ja&quot; oder &quot;Nein&quot; aus." promptTitle="Auswahl Gemeindegebiet" prompt="Bitte wählen Sie hier &quot;Ja&quot; oder &quot;Nein&quot; aus." sqref="K17:L17 K21:L21">
      <formula1>"Ja,Nein"</formula1>
    </dataValidation>
    <dataValidation type="list" allowBlank="1" sqref="G70:H70">
      <formula1>"Ja,Nein"</formula1>
    </dataValidation>
    <dataValidation type="whole" operator="lessThanOrEqual" allowBlank="1" sqref="J34">
      <formula1>K18</formula1>
    </dataValidation>
    <dataValidation type="whole" operator="lessThanOrEqual" allowBlank="1" sqref="J35">
      <formula1>J34</formula1>
    </dataValidation>
    <dataValidation type="decimal" operator="lessThanOrEqual" allowBlank="1" showInputMessage="1" showErrorMessage="1" sqref="L34">
      <formula1>K19</formula1>
    </dataValidation>
    <dataValidation type="decimal" operator="lessThanOrEqual" allowBlank="1" showInputMessage="1" showErrorMessage="1" sqref="L35">
      <formula1>L34</formula1>
    </dataValidation>
    <dataValidation type="list" allowBlank="1" showInputMessage="1" showErrorMessage="1" sqref="AD7 AD10:AE10">
      <formula1>"WAHR,FALSCH"</formula1>
    </dataValidation>
    <dataValidation type="list" allowBlank="1" showInputMessage="1" showErrorMessage="1" sqref="U83">
      <formula1>"Ja,Nein"</formula1>
    </dataValidation>
  </dataValidations>
  <printOptions horizontalCentered="1"/>
  <pageMargins left="0.39370078740157483" right="0.39370078740157483" top="0.31496062992125984" bottom="0.31496062992125984" header="0.19685039370078741" footer="0.19685039370078741"/>
  <pageSetup paperSize="9" scale="67" orientation="portrait" r:id="rId1"/>
  <customProperties>
    <customPr name="_pios_id" r:id="rId2"/>
  </customProperties>
  <drawing r:id="rId3"/>
  <legacyDrawing r:id="rId4"/>
  <controls>
    <mc:AlternateContent xmlns:mc="http://schemas.openxmlformats.org/markup-compatibility/2006">
      <mc:Choice Requires="x14">
        <control shapeId="1165" r:id="rId5" name="cmdPrintout">
          <controlPr defaultSize="0" print="0" autoLine="0" r:id="rId6">
            <anchor moveWithCells="1">
              <from>
                <xdr:col>1</xdr:col>
                <xdr:colOff>0</xdr:colOff>
                <xdr:row>5</xdr:row>
                <xdr:rowOff>57150</xdr:rowOff>
              </from>
              <to>
                <xdr:col>2</xdr:col>
                <xdr:colOff>47625</xdr:colOff>
                <xdr:row>6</xdr:row>
                <xdr:rowOff>114300</xdr:rowOff>
              </to>
            </anchor>
          </controlPr>
        </control>
      </mc:Choice>
      <mc:Fallback>
        <control shapeId="1165" r:id="rId5" name="cmdPrintout"/>
      </mc:Fallback>
    </mc:AlternateContent>
    <mc:AlternateContent xmlns:mc="http://schemas.openxmlformats.org/markup-compatibility/2006">
      <mc:Choice Requires="x14">
        <control shapeId="1163" r:id="rId7" name="cmdDelete">
          <controlPr defaultSize="0" print="0" autoLine="0" r:id="rId8">
            <anchor moveWithCells="1">
              <from>
                <xdr:col>18</xdr:col>
                <xdr:colOff>104775</xdr:colOff>
                <xdr:row>5</xdr:row>
                <xdr:rowOff>57150</xdr:rowOff>
              </from>
              <to>
                <xdr:col>18</xdr:col>
                <xdr:colOff>352425</xdr:colOff>
                <xdr:row>6</xdr:row>
                <xdr:rowOff>114300</xdr:rowOff>
              </to>
            </anchor>
          </controlPr>
        </control>
      </mc:Choice>
      <mc:Fallback>
        <control shapeId="1163" r:id="rId7" name="cmdDelete"/>
      </mc:Fallback>
    </mc:AlternateContent>
    <mc:AlternateContent xmlns:mc="http://schemas.openxmlformats.org/markup-compatibility/2006">
      <mc:Choice Requires="x14">
        <control shapeId="1139" r:id="rId9" name="cmdHilfe">
          <controlPr defaultSize="0" print="0" autoLine="0" r:id="rId10">
            <anchor moveWithCells="1">
              <from>
                <xdr:col>19</xdr:col>
                <xdr:colOff>57150</xdr:colOff>
                <xdr:row>5</xdr:row>
                <xdr:rowOff>57150</xdr:rowOff>
              </from>
              <to>
                <xdr:col>20</xdr:col>
                <xdr:colOff>104775</xdr:colOff>
                <xdr:row>6</xdr:row>
                <xdr:rowOff>114300</xdr:rowOff>
              </to>
            </anchor>
          </controlPr>
        </control>
      </mc:Choice>
      <mc:Fallback>
        <control shapeId="1139" r:id="rId9" name="cmdHilfe"/>
      </mc:Fallback>
    </mc:AlternateContent>
    <mc:AlternateContent xmlns:mc="http://schemas.openxmlformats.org/markup-compatibility/2006">
      <mc:Choice Requires="x14">
        <control shapeId="1138" r:id="rId11" name="cmdInfo">
          <controlPr defaultSize="0" print="0" autoLine="0" r:id="rId12">
            <anchor moveWithCells="1">
              <from>
                <xdr:col>5</xdr:col>
                <xdr:colOff>266700</xdr:colOff>
                <xdr:row>5</xdr:row>
                <xdr:rowOff>57150</xdr:rowOff>
              </from>
              <to>
                <xdr:col>5</xdr:col>
                <xdr:colOff>514350</xdr:colOff>
                <xdr:row>6</xdr:row>
                <xdr:rowOff>114300</xdr:rowOff>
              </to>
            </anchor>
          </controlPr>
        </control>
      </mc:Choice>
      <mc:Fallback>
        <control shapeId="1138" r:id="rId11" name="cmdInfo"/>
      </mc:Fallback>
    </mc:AlternateContent>
    <mc:AlternateContent xmlns:mc="http://schemas.openxmlformats.org/markup-compatibility/2006">
      <mc:Choice Requires="x14">
        <control shapeId="1137" r:id="rId13" name="cmdGrunddaten">
          <controlPr defaultSize="0" print="0" autoLine="0" r:id="rId14">
            <anchor moveWithCells="1">
              <from>
                <xdr:col>1</xdr:col>
                <xdr:colOff>0</xdr:colOff>
                <xdr:row>5</xdr:row>
                <xdr:rowOff>57150</xdr:rowOff>
              </from>
              <to>
                <xdr:col>2</xdr:col>
                <xdr:colOff>47625</xdr:colOff>
                <xdr:row>6</xdr:row>
                <xdr:rowOff>114300</xdr:rowOff>
              </to>
            </anchor>
          </controlPr>
        </control>
      </mc:Choice>
      <mc:Fallback>
        <control shapeId="1137" r:id="rId13" name="cmdGrunddaten"/>
      </mc:Fallback>
    </mc:AlternateContent>
    <mc:AlternateContent xmlns:mc="http://schemas.openxmlformats.org/markup-compatibility/2006">
      <mc:Choice Requires="x14">
        <control shapeId="1136" r:id="rId15" name="cmdProg_Versionen">
          <controlPr defaultSize="0" print="0" autoLine="0" r:id="rId16">
            <anchor moveWithCells="1">
              <from>
                <xdr:col>1</xdr:col>
                <xdr:colOff>0</xdr:colOff>
                <xdr:row>5</xdr:row>
                <xdr:rowOff>57150</xdr:rowOff>
              </from>
              <to>
                <xdr:col>2</xdr:col>
                <xdr:colOff>47625</xdr:colOff>
                <xdr:row>6</xdr:row>
                <xdr:rowOff>114300</xdr:rowOff>
              </to>
            </anchor>
          </controlPr>
        </control>
      </mc:Choice>
      <mc:Fallback>
        <control shapeId="1136" r:id="rId15" name="cmdProg_Versionen"/>
      </mc:Fallback>
    </mc:AlternateContent>
    <mc:AlternateContent xmlns:mc="http://schemas.openxmlformats.org/markup-compatibility/2006">
      <mc:Choice Requires="x14">
        <control shapeId="1135" r:id="rId17" name="cmdHome">
          <controlPr defaultSize="0" print="0" autoLine="0" r:id="rId18">
            <anchor moveWithCells="1">
              <from>
                <xdr:col>4</xdr:col>
                <xdr:colOff>542925</xdr:colOff>
                <xdr:row>5</xdr:row>
                <xdr:rowOff>57150</xdr:rowOff>
              </from>
              <to>
                <xdr:col>5</xdr:col>
                <xdr:colOff>133350</xdr:colOff>
                <xdr:row>6</xdr:row>
                <xdr:rowOff>114300</xdr:rowOff>
              </to>
            </anchor>
          </controlPr>
        </control>
      </mc:Choice>
      <mc:Fallback>
        <control shapeId="1135" r:id="rId17" name="cmdHome"/>
      </mc:Fallback>
    </mc:AlternateContent>
    <mc:AlternateContent xmlns:mc="http://schemas.openxmlformats.org/markup-compatibility/2006">
      <mc:Choice Requires="x14">
        <control shapeId="1164" r:id="rId19" name="cmdZielwert">
          <controlPr defaultSize="0" print="0" autoFill="0" autoLine="0" r:id="rId20">
            <anchor moveWithCells="1">
              <from>
                <xdr:col>25</xdr:col>
                <xdr:colOff>0</xdr:colOff>
                <xdr:row>5</xdr:row>
                <xdr:rowOff>57150</xdr:rowOff>
              </from>
              <to>
                <xdr:col>26</xdr:col>
                <xdr:colOff>47625</xdr:colOff>
                <xdr:row>6</xdr:row>
                <xdr:rowOff>114300</xdr:rowOff>
              </to>
            </anchor>
          </controlPr>
        </control>
      </mc:Choice>
      <mc:Fallback>
        <control shapeId="1164" r:id="rId19" name="cmdZielwert"/>
      </mc:Fallback>
    </mc:AlternateContent>
    <mc:AlternateContent xmlns:mc="http://schemas.openxmlformats.org/markup-compatibility/2006">
      <mc:Choice Requires="x14">
        <control shapeId="1166" r:id="rId21" name="cmdBackups">
          <controlPr defaultSize="0" print="0" autoFill="0" autoLine="0" r:id="rId22">
            <anchor moveWithCells="1">
              <from>
                <xdr:col>25</xdr:col>
                <xdr:colOff>0</xdr:colOff>
                <xdr:row>5</xdr:row>
                <xdr:rowOff>57150</xdr:rowOff>
              </from>
              <to>
                <xdr:col>26</xdr:col>
                <xdr:colOff>47625</xdr:colOff>
                <xdr:row>6</xdr:row>
                <xdr:rowOff>114300</xdr:rowOff>
              </to>
            </anchor>
          </controlPr>
        </control>
      </mc:Choice>
      <mc:Fallback>
        <control shapeId="1166" r:id="rId21" name="cmdBackups"/>
      </mc:Fallback>
    </mc:AlternateContent>
    <mc:AlternateContent xmlns:mc="http://schemas.openxmlformats.org/markup-compatibility/2006">
      <mc:Choice Requires="x14">
        <control shapeId="1155" r:id="rId23" name="MaßnahmeNeubauOhne">
          <controlPr defaultSize="0" autoFill="0" autoLine="0" autoPict="0" macro="[0]!Tabelle02.Rechner_Anpassung">
            <anchor moveWithCells="1">
              <from>
                <xdr:col>3</xdr:col>
                <xdr:colOff>0</xdr:colOff>
                <xdr:row>9</xdr:row>
                <xdr:rowOff>0</xdr:rowOff>
              </from>
              <to>
                <xdr:col>6</xdr:col>
                <xdr:colOff>304800</xdr:colOff>
                <xdr:row>10</xdr:row>
                <xdr:rowOff>0</xdr:rowOff>
              </to>
            </anchor>
          </controlPr>
        </control>
      </mc:Choice>
    </mc:AlternateContent>
    <mc:AlternateContent xmlns:mc="http://schemas.openxmlformats.org/markup-compatibility/2006">
      <mc:Choice Requires="x14">
        <control shapeId="1156" r:id="rId24" name="MaßnahmeNeubauMit">
          <controlPr defaultSize="0" autoFill="0" autoLine="0" autoPict="0" macro="[0]!Tabelle02.Rechner_Anpassung">
            <anchor moveWithCells="1">
              <from>
                <xdr:col>3</xdr:col>
                <xdr:colOff>0</xdr:colOff>
                <xdr:row>10</xdr:row>
                <xdr:rowOff>0</xdr:rowOff>
              </from>
              <to>
                <xdr:col>6</xdr:col>
                <xdr:colOff>304800</xdr:colOff>
                <xdr:row>11</xdr:row>
                <xdr:rowOff>0</xdr:rowOff>
              </to>
            </anchor>
          </controlPr>
        </control>
      </mc:Choice>
    </mc:AlternateContent>
    <mc:AlternateContent xmlns:mc="http://schemas.openxmlformats.org/markup-compatibility/2006">
      <mc:Choice Requires="x14">
        <control shapeId="1157" r:id="rId25" name="MaßnahmeUmbauOhne">
          <controlPr defaultSize="0" autoFill="0" autoLine="0" autoPict="0" macro="[0]!Tabelle02.Rechner_Anpassung">
            <anchor moveWithCells="1">
              <from>
                <xdr:col>8</xdr:col>
                <xdr:colOff>0</xdr:colOff>
                <xdr:row>9</xdr:row>
                <xdr:rowOff>0</xdr:rowOff>
              </from>
              <to>
                <xdr:col>11</xdr:col>
                <xdr:colOff>847725</xdr:colOff>
                <xdr:row>10</xdr:row>
                <xdr:rowOff>0</xdr:rowOff>
              </to>
            </anchor>
          </controlPr>
        </control>
      </mc:Choice>
    </mc:AlternateContent>
    <mc:AlternateContent xmlns:mc="http://schemas.openxmlformats.org/markup-compatibility/2006">
      <mc:Choice Requires="x14">
        <control shapeId="1158" r:id="rId26" name="MaßnahmeUmbauMit">
          <controlPr defaultSize="0" autoFill="0" autoLine="0" autoPict="0" macro="[0]!Tabelle02.Rechner_Anpassung">
            <anchor moveWithCells="1">
              <from>
                <xdr:col>8</xdr:col>
                <xdr:colOff>0</xdr:colOff>
                <xdr:row>10</xdr:row>
                <xdr:rowOff>0</xdr:rowOff>
              </from>
              <to>
                <xdr:col>11</xdr:col>
                <xdr:colOff>847725</xdr:colOff>
                <xdr:row>11</xdr:row>
                <xdr:rowOff>0</xdr:rowOff>
              </to>
            </anchor>
          </controlPr>
        </control>
      </mc:Choice>
    </mc:AlternateContent>
    <mc:AlternateContent xmlns:mc="http://schemas.openxmlformats.org/markup-compatibility/2006">
      <mc:Choice Requires="x14">
        <control shapeId="1159" r:id="rId27" name="MaßnahmeModInstOhne">
          <controlPr defaultSize="0" autoFill="0" autoLine="0" autoPict="0" macro="[0]!Tabelle02.Rechner_Anpassung">
            <anchor moveWithCells="1">
              <from>
                <xdr:col>13</xdr:col>
                <xdr:colOff>0</xdr:colOff>
                <xdr:row>9</xdr:row>
                <xdr:rowOff>0</xdr:rowOff>
              </from>
              <to>
                <xdr:col>18</xdr:col>
                <xdr:colOff>38100</xdr:colOff>
                <xdr:row>10</xdr:row>
                <xdr:rowOff>0</xdr:rowOff>
              </to>
            </anchor>
          </controlPr>
        </control>
      </mc:Choice>
    </mc:AlternateContent>
    <mc:AlternateContent xmlns:mc="http://schemas.openxmlformats.org/markup-compatibility/2006">
      <mc:Choice Requires="x14">
        <control shapeId="1160" r:id="rId28" name="MaßnahmeAufzug">
          <controlPr defaultSize="0" autoFill="0" autoLine="0" autoPict="0" macro="[0]!Tabelle02.Rechner_Anpassung">
            <anchor moveWithCells="1">
              <from>
                <xdr:col>20</xdr:col>
                <xdr:colOff>0</xdr:colOff>
                <xdr:row>9</xdr:row>
                <xdr:rowOff>0</xdr:rowOff>
              </from>
              <to>
                <xdr:col>24</xdr:col>
                <xdr:colOff>85725</xdr:colOff>
                <xdr:row>10</xdr:row>
                <xdr:rowOff>0</xdr:rowOff>
              </to>
            </anchor>
          </controlPr>
        </control>
      </mc:Choice>
    </mc:AlternateContent>
    <mc:AlternateContent xmlns:mc="http://schemas.openxmlformats.org/markup-compatibility/2006">
      <mc:Choice Requires="x14">
        <control shapeId="1468" r:id="rId29" name="MaßnahmeModInstMit">
          <controlPr defaultSize="0" autoFill="0" autoLine="0" autoPict="0" macro="[0]!Tabelle02.Rechner_Anpassung">
            <anchor moveWithCells="1">
              <from>
                <xdr:col>13</xdr:col>
                <xdr:colOff>0</xdr:colOff>
                <xdr:row>10</xdr:row>
                <xdr:rowOff>0</xdr:rowOff>
              </from>
              <to>
                <xdr:col>18</xdr:col>
                <xdr:colOff>38100</xdr:colOff>
                <xdr:row>11</xdr:row>
                <xdr:rowOff>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expression" priority="8" id="{00000000-000E-0000-0100-0000D9010000}">
            <xm:f>OR(Daten!$L$42&lt;&gt;Daten!$M$42,AND($L27&lt;&gt;"",$V27=""))</xm:f>
            <x14:dxf>
              <fill>
                <patternFill>
                  <bgColor rgb="FFFCE4D6"/>
                </patternFill>
              </fill>
              <border>
                <left style="thin">
                  <color auto="1"/>
                </left>
                <right style="thin">
                  <color auto="1"/>
                </right>
                <top style="thin">
                  <color auto="1"/>
                </top>
                <bottom style="thin">
                  <color auto="1"/>
                </bottom>
              </border>
            </x14:dxf>
          </x14:cfRule>
          <xm:sqref>V27:X27</xm:sqref>
        </x14:conditionalFormatting>
        <x14:conditionalFormatting xmlns:xm="http://schemas.microsoft.com/office/excel/2006/main">
          <x14:cfRule type="expression" priority="9" id="{98FEBFBA-0944-43AF-8D82-935A5A00D241}">
            <xm:f>OR(Daten!$L$44&lt;&gt;Daten!$M$44,AND($L29&lt;&gt;"",$V29=""))</xm:f>
            <x14:dxf>
              <fill>
                <patternFill>
                  <bgColor theme="9" tint="0.79998168889431442"/>
                </patternFill>
              </fill>
              <border>
                <left style="thin">
                  <color auto="1"/>
                </left>
                <right style="thin">
                  <color auto="1"/>
                </right>
                <top style="thin">
                  <color auto="1"/>
                </top>
                <bottom style="thin">
                  <color auto="1"/>
                </bottom>
                <vertical/>
                <horizontal/>
              </border>
            </x14:dxf>
          </x14:cfRule>
          <xm:sqref>V29:X29</xm:sqref>
        </x14:conditionalFormatting>
        <x14:conditionalFormatting xmlns:xm="http://schemas.microsoft.com/office/excel/2006/main">
          <x14:cfRule type="expression" priority="56" id="{00000000-000E-0000-0100-000006000000}">
            <xm:f>OR(Daten!$C$4=TRUE,$AB$100=TRUE)</xm:f>
            <x14:dxf>
              <border>
                <left style="thin">
                  <color auto="1"/>
                </left>
                <right/>
                <top style="thin">
                  <color auto="1"/>
                </top>
                <bottom style="thin">
                  <color auto="1"/>
                </bottom>
                <vertical/>
                <horizontal/>
              </border>
            </x14:dxf>
          </x14:cfRule>
          <xm:sqref>O100:U102</xm:sqref>
        </x14:conditionalFormatting>
        <x14:conditionalFormatting xmlns:xm="http://schemas.microsoft.com/office/excel/2006/main">
          <x14:cfRule type="expression" priority="54" id="{00000000-000E-0000-0100-000004000000}">
            <xm:f>OR(Daten!$C$4=TRUE,$AB$100=TRUE)</xm:f>
            <x14:dxf>
              <border>
                <left/>
                <right style="thin">
                  <color auto="1"/>
                </right>
                <top style="thin">
                  <color auto="1"/>
                </top>
                <bottom style="thin">
                  <color auto="1"/>
                </bottom>
                <vertical/>
                <horizontal/>
              </border>
            </x14:dxf>
          </x14:cfRule>
          <xm:sqref>V100:X102</xm:sqref>
        </x14:conditionalFormatting>
        <x14:conditionalFormatting xmlns:xm="http://schemas.microsoft.com/office/excel/2006/main">
          <x14:cfRule type="expression" priority="635" id="{C255B61B-F1EF-4A81-BC46-C9C2B6F046D3}">
            <xm:f>Daten!$J$2=TRUE</xm:f>
            <x14:dxf>
              <fill>
                <patternFill>
                  <bgColor theme="0"/>
                </patternFill>
              </fill>
            </x14:dxf>
          </x14:cfRule>
          <xm:sqref>I43 I41</xm:sqref>
        </x14:conditionalFormatting>
        <x14:conditionalFormatting xmlns:xm="http://schemas.microsoft.com/office/excel/2006/main">
          <x14:cfRule type="expression" priority="109" stopIfTrue="1" id="{38294288-EE02-4CBC-9A91-0A2FCDCBE5B3}">
            <xm:f>Daten!$J$2=TRUE</xm:f>
            <x14:dxf>
              <fill>
                <patternFill>
                  <bgColor theme="0"/>
                </patternFill>
              </fill>
            </x14:dxf>
          </x14:cfRule>
          <xm:sqref>V85:X85</xm:sqref>
        </x14:conditionalFormatting>
        <x14:conditionalFormatting xmlns:xm="http://schemas.microsoft.com/office/excel/2006/main">
          <x14:cfRule type="expression" priority="127" id="{F4BF48D9-8F26-4836-B7AA-A049F2FE8C2F}">
            <xm:f>Daten!$M$5=TRUE</xm:f>
            <x14:dxf>
              <fill>
                <patternFill>
                  <bgColor rgb="FFFFC000"/>
                </patternFill>
              </fill>
              <border>
                <left style="thin">
                  <color auto="1"/>
                </left>
                <right style="thin">
                  <color auto="1"/>
                </right>
                <top style="thin">
                  <color auto="1"/>
                </top>
                <bottom style="thin">
                  <color auto="1"/>
                </bottom>
              </border>
            </x14:dxf>
          </x14:cfRule>
          <x14:cfRule type="expression" priority="128" id="{9FFCC99A-40CA-413D-AF78-0A135ADC4147}">
            <xm:f>Daten!$J$2=TRUE</xm:f>
            <x14:dxf>
              <fill>
                <patternFill>
                  <bgColor theme="0"/>
                </patternFill>
              </fill>
              <border>
                <left style="thin">
                  <color auto="1"/>
                </left>
                <right style="thin">
                  <color auto="1"/>
                </right>
                <top style="thin">
                  <color auto="1"/>
                </top>
                <bottom style="thin">
                  <color auto="1"/>
                </bottom>
              </border>
            </x14:dxf>
          </x14:cfRule>
          <xm:sqref>V58:X58</xm:sqref>
        </x14:conditionalFormatting>
        <x14:conditionalFormatting xmlns:xm="http://schemas.microsoft.com/office/excel/2006/main">
          <x14:cfRule type="expression" priority="78" id="{146486F8-752C-497C-9728-E861C4E9F1DE}">
            <xm:f>AND($AB$43=TRUE,$P$43&lt;&gt;"",$V$43="",Daten!$M$5=FALSE)</xm:f>
            <x14:dxf>
              <fill>
                <patternFill patternType="solid">
                  <bgColor rgb="FFFFF2CC"/>
                </patternFill>
              </fill>
              <border>
                <left style="thin">
                  <color auto="1"/>
                </left>
                <right style="thin">
                  <color auto="1"/>
                </right>
                <top style="thin">
                  <color auto="1"/>
                </top>
                <bottom style="thin">
                  <color auto="1"/>
                </bottom>
                <vertical/>
                <horizontal/>
              </border>
            </x14:dxf>
          </x14:cfRule>
          <x14:cfRule type="expression" priority="380" id="{BE744AB3-D67B-45A7-BBF5-5050D0207FDA}">
            <xm:f>AND($AB$43=TRUE,$P$43&lt;&gt;"",Daten!$M$5=TRUE)</xm:f>
            <x14:dxf>
              <fill>
                <patternFill>
                  <bgColor rgb="FFFFC000"/>
                </patternFill>
              </fill>
              <border>
                <left style="thin">
                  <color auto="1"/>
                </left>
                <right style="thin">
                  <color auto="1"/>
                </right>
                <top style="thin">
                  <color auto="1"/>
                </top>
                <bottom style="thin">
                  <color auto="1"/>
                </bottom>
                <vertical/>
                <horizontal/>
              </border>
            </x14:dxf>
          </x14:cfRule>
          <xm:sqref>V43:X43</xm:sqref>
        </x14:conditionalFormatting>
        <x14:conditionalFormatting xmlns:xm="http://schemas.microsoft.com/office/excel/2006/main">
          <x14:cfRule type="expression" priority="81" id="{AC837F2F-6092-4454-BD4D-9040356D8FDF}">
            <xm:f>Daten!$J$2=TRUE</xm:f>
            <x14:dxf>
              <fill>
                <patternFill>
                  <bgColor theme="0"/>
                </patternFill>
              </fill>
            </x14:dxf>
          </x14:cfRule>
          <x14:cfRule type="expression" priority="382" id="{C338D446-8310-46B1-B397-1927C225D84E}">
            <xm:f>AND($P$42&lt;&gt;"",Daten!$M$5=FALSE)</xm:f>
            <x14:dxf>
              <fill>
                <patternFill patternType="solid">
                  <bgColor rgb="FFFFF2CC"/>
                </patternFill>
              </fill>
              <border>
                <left style="thin">
                  <color auto="1"/>
                </left>
                <right style="thin">
                  <color auto="1"/>
                </right>
                <top style="thin">
                  <color auto="1"/>
                </top>
                <bottom style="thin">
                  <color auto="1"/>
                </bottom>
                <vertical/>
                <horizontal/>
              </border>
            </x14:dxf>
          </x14:cfRule>
          <x14:cfRule type="expression" priority="383" id="{BFF94D1F-5A25-4190-9657-E8CAEBA0C9D5}">
            <xm:f>AND($P$42&lt;&gt;"",Daten!$M$5=TRUE)</xm:f>
            <x14:dxf>
              <fill>
                <patternFill>
                  <bgColor rgb="FFFFC000"/>
                </patternFill>
              </fill>
              <border>
                <left style="thin">
                  <color auto="1"/>
                </left>
                <right style="thin">
                  <color auto="1"/>
                </right>
                <top style="thin">
                  <color auto="1"/>
                </top>
                <bottom style="thin">
                  <color auto="1"/>
                </bottom>
                <vertical/>
                <horizontal/>
              </border>
            </x14:dxf>
          </x14:cfRule>
          <xm:sqref>V42:X42</xm:sqref>
        </x14:conditionalFormatting>
        <x14:conditionalFormatting xmlns:xm="http://schemas.microsoft.com/office/excel/2006/main">
          <x14:cfRule type="expression" priority="121" id="{31F58F21-8EC8-4243-BBF8-D4061B708BCC}">
            <xm:f>Daten!$J$2=TRUE</xm:f>
            <x14:dxf>
              <fill>
                <patternFill>
                  <bgColor theme="0"/>
                </patternFill>
              </fill>
            </x14:dxf>
          </x14:cfRule>
          <x14:cfRule type="expression" priority="384" id="{165164D9-5D68-4588-B913-64ABC0B21B7F}">
            <xm:f>AND($P$41&lt;&gt;"",Daten!$M$5=FALSE,$V$41="")</xm:f>
            <x14:dxf>
              <fill>
                <patternFill patternType="solid">
                  <bgColor rgb="FFFFF2CC"/>
                </patternFill>
              </fill>
              <border>
                <left style="thin">
                  <color auto="1"/>
                </left>
                <right style="thin">
                  <color auto="1"/>
                </right>
                <top style="thin">
                  <color auto="1"/>
                </top>
                <bottom style="thin">
                  <color auto="1"/>
                </bottom>
                <vertical/>
                <horizontal/>
              </border>
            </x14:dxf>
          </x14:cfRule>
          <x14:cfRule type="expression" priority="385" id="{AEE59C51-61A2-4068-8829-95ECD9E16C1B}">
            <xm:f>AND(Daten!$M$5=TRUE,$P$41&lt;&gt;"")</xm:f>
            <x14:dxf>
              <fill>
                <patternFill>
                  <bgColor rgb="FFFFC000"/>
                </patternFill>
              </fill>
              <border>
                <left style="thin">
                  <color auto="1"/>
                </left>
                <right style="thin">
                  <color auto="1"/>
                </right>
                <top style="thin">
                  <color auto="1"/>
                </top>
                <bottom style="thin">
                  <color auto="1"/>
                </bottom>
              </border>
            </x14:dxf>
          </x14:cfRule>
          <xm:sqref>V41:X41</xm:sqref>
        </x14:conditionalFormatting>
        <x14:conditionalFormatting xmlns:xm="http://schemas.microsoft.com/office/excel/2006/main">
          <x14:cfRule type="expression" priority="476" id="{EDE22CA6-B0E9-4308-BDDC-91633C610C5E}">
            <xm:f>AND(Daten!$L$16=TRUE,$K$21="Ja")</xm:f>
            <x14:dxf>
              <font>
                <b val="0"/>
                <i val="0"/>
              </font>
              <fill>
                <patternFill>
                  <bgColor theme="0"/>
                </patternFill>
              </fill>
              <border>
                <left/>
                <right/>
                <top/>
                <bottom/>
                <vertical/>
                <horizontal/>
              </border>
            </x14:dxf>
          </x14:cfRule>
          <xm:sqref>P51:P52</xm:sqref>
        </x14:conditionalFormatting>
        <x14:conditionalFormatting xmlns:xm="http://schemas.microsoft.com/office/excel/2006/main">
          <x14:cfRule type="expression" priority="139" id="{81CCB6A1-50FB-4A75-988B-01A792FA2BE8}">
            <xm:f>OR(Daten!$L$16=TRUE,Daten!$L$17=TRUE)</xm:f>
            <x14:dxf>
              <border>
                <left style="thin">
                  <color auto="1"/>
                </left>
                <right/>
                <top/>
                <bottom/>
                <vertical/>
                <horizontal/>
              </border>
            </x14:dxf>
          </x14:cfRule>
          <xm:sqref>T9:T11</xm:sqref>
        </x14:conditionalFormatting>
        <x14:conditionalFormatting xmlns:xm="http://schemas.microsoft.com/office/excel/2006/main">
          <x14:cfRule type="expression" priority="131" id="{2B3B3284-10CD-4A21-9BBB-4E543C177189}">
            <xm:f>Daten!$J$2=TRUE</xm:f>
            <x14:dxf>
              <fill>
                <patternFill>
                  <bgColor theme="0"/>
                </patternFill>
              </fill>
              <border>
                <left style="thin">
                  <color auto="1"/>
                </left>
                <right style="thin">
                  <color auto="1"/>
                </right>
                <top style="thin">
                  <color auto="1"/>
                </top>
                <bottom style="thin">
                  <color auto="1"/>
                </bottom>
                <vertical/>
                <horizontal/>
              </border>
            </x14:dxf>
          </x14:cfRule>
          <xm:sqref>V31:X31 G68:I69</xm:sqref>
        </x14:conditionalFormatting>
        <x14:conditionalFormatting xmlns:xm="http://schemas.microsoft.com/office/excel/2006/main">
          <x14:cfRule type="expression" priority="89" id="{F85675C4-CEFF-4438-BAE4-30E224C67A32}">
            <xm:f>Daten!$J$2=TRUE</xm:f>
            <x14:dxf>
              <fill>
                <patternFill>
                  <bgColor theme="0"/>
                </patternFill>
              </fill>
            </x14:dxf>
          </x14:cfRule>
          <xm:sqref>M88</xm:sqref>
        </x14:conditionalFormatting>
        <x14:conditionalFormatting xmlns:xm="http://schemas.microsoft.com/office/excel/2006/main">
          <x14:cfRule type="expression" priority="117" id="{A27523C2-184C-4158-BFE6-AAA0893DD8E4}">
            <xm:f>Daten!$J$2=TRUE</xm:f>
            <x14:dxf>
              <fill>
                <patternFill>
                  <bgColor theme="0"/>
                </patternFill>
              </fill>
            </x14:dxf>
          </x14:cfRule>
          <xm:sqref>P50</xm:sqref>
        </x14:conditionalFormatting>
        <x14:conditionalFormatting xmlns:xm="http://schemas.microsoft.com/office/excel/2006/main">
          <x14:cfRule type="expression" priority="112" id="{456860F2-0B81-4258-AF4D-935486D923FD}">
            <xm:f>Daten!$J$2=TRUE</xm:f>
            <x14:dxf>
              <fill>
                <patternFill>
                  <bgColor theme="0"/>
                </patternFill>
              </fill>
            </x14:dxf>
          </x14:cfRule>
          <xm:sqref>G88 V88:X88 J88</xm:sqref>
        </x14:conditionalFormatting>
        <x14:conditionalFormatting xmlns:xm="http://schemas.microsoft.com/office/excel/2006/main">
          <x14:cfRule type="expression" priority="108" id="{359C1320-629B-4552-9E52-8AFD8C6FFDF0}">
            <xm:f>Daten!$J$2=TRUE</xm:f>
            <x14:dxf>
              <font>
                <color theme="1"/>
              </font>
            </x14:dxf>
          </x14:cfRule>
          <xm:sqref>C8 N17:N18</xm:sqref>
        </x14:conditionalFormatting>
        <x14:conditionalFormatting xmlns:xm="http://schemas.microsoft.com/office/excel/2006/main">
          <x14:cfRule type="expression" priority="107" id="{26E1F20F-4374-4CC9-A4F8-8AA5643C8490}">
            <xm:f>Daten!$J$2=TRUE</xm:f>
            <x14:dxf>
              <font>
                <color theme="1"/>
              </font>
            </x14:dxf>
          </x14:cfRule>
          <xm:sqref>C13 C24 C37 C55 C82:C83 C87</xm:sqref>
        </x14:conditionalFormatting>
        <x14:conditionalFormatting xmlns:xm="http://schemas.microsoft.com/office/excel/2006/main">
          <x14:cfRule type="expression" priority="105" id="{E01AFFCB-7827-4362-874C-0B0F974C1A71}">
            <xm:f>Daten!$J$2=TRUE</xm:f>
            <x14:dxf>
              <font>
                <color theme="1"/>
              </font>
            </x14:dxf>
          </x14:cfRule>
          <xm:sqref>P32:P33</xm:sqref>
        </x14:conditionalFormatting>
        <x14:conditionalFormatting xmlns:xm="http://schemas.microsoft.com/office/excel/2006/main">
          <x14:cfRule type="expression" priority="103" id="{3AE918C2-32DD-445A-BB58-F439350BFC72}">
            <xm:f>Daten!$J$2=TRUE</xm:f>
            <x14:dxf>
              <font>
                <color theme="1"/>
              </font>
            </x14:dxf>
          </x14:cfRule>
          <xm:sqref>D14:D15</xm:sqref>
        </x14:conditionalFormatting>
        <x14:conditionalFormatting xmlns:xm="http://schemas.microsoft.com/office/excel/2006/main">
          <x14:cfRule type="expression" priority="545" id="{9ACC9258-FD4C-4ADA-B78F-7142FF20A3A5}">
            <xm:f>Daten!$L$26&lt;&gt;Daten!$M$26</xm:f>
            <x14:dxf>
              <font>
                <color theme="2"/>
              </font>
            </x14:dxf>
          </x14:cfRule>
          <xm:sqref>D15</xm:sqref>
        </x14:conditionalFormatting>
        <x14:conditionalFormatting xmlns:xm="http://schemas.microsoft.com/office/excel/2006/main">
          <x14:cfRule type="expression" priority="559" id="{6DA99A50-CCB7-4050-BF14-F1B7FA7146FC}">
            <xm:f>Daten!$L$42&lt;&gt;Daten!$M$42</xm:f>
            <x14:dxf>
              <font>
                <color rgb="FFBE0F34"/>
              </font>
            </x14:dxf>
          </x14:cfRule>
          <xm:sqref>P27</xm:sqref>
        </x14:conditionalFormatting>
        <x14:conditionalFormatting xmlns:xm="http://schemas.microsoft.com/office/excel/2006/main">
          <x14:cfRule type="expression" priority="592" id="{6DA99A50-CCB7-4050-BF14-F1B7FA7146FC}">
            <xm:f>Daten!$L$43&lt;&gt;Daten!$M$43</xm:f>
            <x14:dxf>
              <font>
                <color rgb="FFBE0F34"/>
              </font>
            </x14:dxf>
          </x14:cfRule>
          <xm:sqref>P28</xm:sqref>
        </x14:conditionalFormatting>
        <x14:conditionalFormatting xmlns:xm="http://schemas.microsoft.com/office/excel/2006/main">
          <x14:cfRule type="expression" priority="673" id="{B13D598A-8DE1-4F5D-8374-F603902EB320}">
            <xm:f>Daten!$M$76=TRUE</xm:f>
            <x14:dxf>
              <font>
                <b/>
                <i val="0"/>
              </font>
            </x14:dxf>
          </x14:cfRule>
          <xm:sqref>D11</xm:sqref>
        </x14:conditionalFormatting>
        <x14:conditionalFormatting xmlns:xm="http://schemas.microsoft.com/office/excel/2006/main">
          <x14:cfRule type="expression" priority="77" id="{E7A3920C-7218-4B8A-9013-60FFFF99B8AA}">
            <xm:f>Daten!$J$2=TRUE</xm:f>
            <x14:dxf>
              <font>
                <color theme="1"/>
              </font>
            </x14:dxf>
          </x14:cfRule>
          <xm:sqref>C90</xm:sqref>
        </x14:conditionalFormatting>
        <x14:conditionalFormatting xmlns:xm="http://schemas.microsoft.com/office/excel/2006/main">
          <x14:cfRule type="expression" priority="129" id="{DFF11BFE-0F35-40FC-B981-471F2F86BE0B}">
            <xm:f>Daten!$J$2=TRUE</xm:f>
            <x14:dxf>
              <fill>
                <patternFill>
                  <bgColor theme="0"/>
                </patternFill>
              </fill>
              <border>
                <left style="thin">
                  <color auto="1"/>
                </left>
                <right style="thin">
                  <color auto="1"/>
                </right>
                <top style="thin">
                  <color auto="1"/>
                </top>
                <bottom style="thin">
                  <color auto="1"/>
                </bottom>
                <vertical/>
                <horizontal/>
              </border>
            </x14:dxf>
          </x14:cfRule>
          <xm:sqref>V48:V49</xm:sqref>
        </x14:conditionalFormatting>
        <x14:conditionalFormatting xmlns:xm="http://schemas.microsoft.com/office/excel/2006/main">
          <x14:cfRule type="expression" priority="728" id="{6DA99A50-CCB7-4050-BF14-F1B7FA7146FC}">
            <xm:f>Daten!$L$44&lt;&gt;Daten!$M$44</xm:f>
            <x14:dxf>
              <font>
                <color rgb="FFBE0F34"/>
              </font>
            </x14:dxf>
          </x14:cfRule>
          <xm:sqref>P29</xm:sqref>
        </x14:conditionalFormatting>
        <x14:conditionalFormatting xmlns:xm="http://schemas.microsoft.com/office/excel/2006/main">
          <x14:cfRule type="expression" priority="760" id="{251A59C4-66A6-4C41-BEA8-76869DAA5280}">
            <xm:f>AND(Daten!$M$5=FALSE,Daten!$M$75=TRUE)</xm:f>
            <x14:dxf>
              <font>
                <b/>
                <i val="0"/>
              </font>
            </x14:dxf>
          </x14:cfRule>
          <xm:sqref>D10</xm:sqref>
        </x14:conditionalFormatting>
        <x14:conditionalFormatting xmlns:xm="http://schemas.microsoft.com/office/excel/2006/main">
          <x14:cfRule type="expression" priority="762" id="{B13D598A-8DE1-4F5D-8374-F603902EB320}">
            <xm:f>Daten!$M$77=TRUE</xm:f>
            <x14:dxf>
              <font>
                <b/>
                <i val="0"/>
              </font>
            </x14:dxf>
          </x14:cfRule>
          <xm:sqref>I10</xm:sqref>
        </x14:conditionalFormatting>
        <x14:conditionalFormatting xmlns:xm="http://schemas.microsoft.com/office/excel/2006/main">
          <x14:cfRule type="expression" priority="765" id="{B13D598A-8DE1-4F5D-8374-F603902EB320}">
            <xm:f>Daten!$M$78=TRUE</xm:f>
            <x14:dxf>
              <font>
                <b/>
                <i val="0"/>
              </font>
            </x14:dxf>
          </x14:cfRule>
          <xm:sqref>I11</xm:sqref>
        </x14:conditionalFormatting>
        <x14:conditionalFormatting xmlns:xm="http://schemas.microsoft.com/office/excel/2006/main">
          <x14:cfRule type="expression" priority="766" id="{B13D598A-8DE1-4F5D-8374-F603902EB320}">
            <xm:f>Daten!$M$79=TRUE</xm:f>
            <x14:dxf>
              <font>
                <b/>
                <i val="0"/>
              </font>
            </x14:dxf>
          </x14:cfRule>
          <xm:sqref>N10</xm:sqref>
        </x14:conditionalFormatting>
        <x14:conditionalFormatting xmlns:xm="http://schemas.microsoft.com/office/excel/2006/main">
          <x14:cfRule type="expression" priority="767" id="{86DE5B1B-DB4C-4613-B8EC-36D0BD9C2F59}">
            <xm:f>AND(Daten!$M$5=TRUE,Daten!$M$79=FALSE)</xm:f>
            <x14:dxf>
              <fill>
                <patternFill>
                  <bgColor rgb="FFFFC000"/>
                </patternFill>
              </fill>
              <border>
                <left style="thin">
                  <color auto="1"/>
                </left>
                <right style="thin">
                  <color auto="1"/>
                </right>
                <top style="thin">
                  <color auto="1"/>
                </top>
                <bottom style="thin">
                  <color auto="1"/>
                </bottom>
              </border>
            </x14:dxf>
          </x14:cfRule>
          <xm:sqref>I40:I41</xm:sqref>
        </x14:conditionalFormatting>
        <x14:conditionalFormatting xmlns:xm="http://schemas.microsoft.com/office/excel/2006/main">
          <x14:cfRule type="expression" priority="800" id="{6278DD2D-AC6F-49E3-B8F0-C7054A495813}">
            <xm:f>AND($Q$22&lt;&gt;"",Daten!$R$90=TRUE)</xm:f>
            <x14:dxf>
              <font>
                <color rgb="FF00B050"/>
              </font>
            </x14:dxf>
          </x14:cfRule>
          <x14:cfRule type="expression" priority="801" id="{6D0EECD2-9E86-44AE-A5CB-C1E97174929C}">
            <xm:f>OR($Q$22="",Daten!$R$90=FALSE)</xm:f>
            <x14:dxf>
              <font>
                <color theme="2"/>
              </font>
            </x14:dxf>
          </x14:cfRule>
          <xm:sqref>X22</xm:sqref>
        </x14:conditionalFormatting>
        <x14:conditionalFormatting xmlns:xm="http://schemas.microsoft.com/office/excel/2006/main">
          <x14:cfRule type="expression" priority="802" id="{9ACC9258-FD4C-4ADA-B78F-7142FF20A3A5}">
            <xm:f>Daten!$L$25&lt;&gt;Daten!$M$25</xm:f>
            <x14:dxf>
              <font>
                <color theme="2"/>
              </font>
            </x14:dxf>
          </x14:cfRule>
          <xm:sqref>D14</xm:sqref>
        </x14:conditionalFormatting>
        <x14:conditionalFormatting xmlns:xm="http://schemas.microsoft.com/office/excel/2006/main">
          <x14:cfRule type="expression" priority="804" id="{7FF38B50-70F1-4EBE-9A7C-EF655613117A}">
            <xm:f>Daten!$J$2=TRUE</xm:f>
            <x14:dxf>
              <font>
                <color theme="1"/>
              </font>
            </x14:dxf>
          </x14:cfRule>
          <x14:cfRule type="expression" priority="805" id="{D859ABED-2D26-47F5-A256-651811E4755E}">
            <xm:f>Daten!$L27&lt;&gt;Daten!$M27</xm:f>
            <x14:dxf>
              <font>
                <color rgb="FFBE0F34"/>
              </font>
            </x14:dxf>
          </x14:cfRule>
          <xm:sqref>D17:D22</xm:sqref>
        </x14:conditionalFormatting>
        <x14:conditionalFormatting xmlns:xm="http://schemas.microsoft.com/office/excel/2006/main">
          <x14:cfRule type="expression" priority="24" id="{65472861-2773-4918-B075-40A0A9543D9B}">
            <xm:f>Daten!$M$81=TRUE</xm:f>
            <x14:dxf>
              <font>
                <b/>
                <i val="0"/>
              </font>
            </x14:dxf>
          </x14:cfRule>
          <xm:sqref>U10</xm:sqref>
        </x14:conditionalFormatting>
        <x14:conditionalFormatting xmlns:xm="http://schemas.microsoft.com/office/excel/2006/main">
          <x14:cfRule type="expression" priority="862" id="{65472861-2773-4918-B075-40A0A9543D9B}">
            <xm:f>Daten!$M$80=TRUE</xm:f>
            <x14:dxf>
              <font>
                <b/>
                <i val="0"/>
              </font>
            </x14:dxf>
          </x14:cfRule>
          <xm:sqref>N11</xm:sqref>
        </x14:conditionalFormatting>
        <x14:conditionalFormatting xmlns:xm="http://schemas.microsoft.com/office/excel/2006/main">
          <x14:cfRule type="expression" priority="863" id="{00000000-000E-0000-0100-00006C000000}">
            <xm:f>AND(Daten!$M$81=FALSE,$D$43&lt;&gt;"",$I$43="")</xm:f>
            <x14:dxf>
              <fill>
                <patternFill patternType="solid">
                  <bgColor rgb="FFFCF2CC"/>
                </patternFill>
              </fill>
              <border>
                <left style="thin">
                  <color auto="1"/>
                </left>
                <right style="thin">
                  <color auto="1"/>
                </right>
                <top style="thin">
                  <color auto="1"/>
                </top>
                <bottom style="thin">
                  <color auto="1"/>
                </bottom>
                <vertical/>
                <horizontal/>
              </border>
            </x14:dxf>
          </x14:cfRule>
          <xm:sqref>I43</xm:sqref>
        </x14:conditionalFormatting>
        <x14:conditionalFormatting xmlns:xm="http://schemas.microsoft.com/office/excel/2006/main">
          <x14:cfRule type="expression" priority="864" id="{00000000-000E-0000-0100-00002D020000}">
            <xm:f>AND(Daten!$M$81=FALSE,$D$42&lt;&gt;"",$I$42="")</xm:f>
            <x14:dxf>
              <fill>
                <patternFill>
                  <bgColor rgb="FFFCE4D6"/>
                </patternFill>
              </fill>
              <border>
                <left style="thin">
                  <color auto="1"/>
                </left>
                <right style="thin">
                  <color auto="1"/>
                </right>
                <top style="thin">
                  <color auto="1"/>
                </top>
                <bottom style="thin">
                  <color auto="1"/>
                </bottom>
              </border>
            </x14:dxf>
          </x14:cfRule>
          <xm:sqref>I42</xm:sqref>
        </x14:conditionalFormatting>
        <x14:conditionalFormatting xmlns:xm="http://schemas.microsoft.com/office/excel/2006/main">
          <x14:cfRule type="expression" priority="866" id="{096BE43D-DE9C-4C6A-BA2E-4970FCEB4D58}">
            <xm:f>AND(OR(Daten!$M$79=TRUE,Daten!$M$81=TRUE),$I$40="",$D$40="Baukosten:")</xm:f>
            <x14:dxf>
              <fill>
                <patternFill>
                  <bgColor theme="9" tint="0.79998168889431442"/>
                </patternFill>
              </fill>
            </x14:dxf>
          </x14:cfRule>
          <x14:cfRule type="expression" priority="867" id="{D7FF83D8-9CC8-4A3E-AD00-9B1D15840366}">
            <xm:f>AND(Daten!$M$79=FALSE,$I$40="")</xm:f>
            <x14:dxf>
              <fill>
                <patternFill>
                  <bgColor rgb="FFFFF2CC"/>
                </patternFill>
              </fill>
            </x14:dxf>
          </x14:cfRule>
          <x14:cfRule type="expression" priority="868" id="{EB4B3268-A85A-433D-BA3E-2CF1824142CB}">
            <xm:f>Daten!$J$2=TRUE</xm:f>
            <x14:dxf>
              <fill>
                <patternFill>
                  <bgColor theme="0"/>
                </patternFill>
              </fill>
            </x14:dxf>
          </x14:cfRule>
          <xm:sqref>I40</xm:sqref>
        </x14:conditionalFormatting>
        <x14:conditionalFormatting xmlns:xm="http://schemas.microsoft.com/office/excel/2006/main">
          <x14:cfRule type="expression" priority="14" id="{541BD1AF-D8D0-4FCE-B25C-D88CDAB6AF4B}">
            <xm:f>Daten!$L$17=FALSE</xm:f>
            <x14:dxf>
              <font>
                <color theme="0"/>
              </font>
              <fill>
                <patternFill>
                  <bgColor theme="0"/>
                </patternFill>
              </fill>
              <border>
                <left/>
                <right/>
                <top/>
                <bottom/>
                <vertical/>
                <horizontal/>
              </border>
            </x14:dxf>
          </x14:cfRule>
          <xm:sqref>O21:P21</xm:sqref>
        </x14:conditionalFormatting>
        <x14:conditionalFormatting xmlns:xm="http://schemas.microsoft.com/office/excel/2006/main">
          <x14:cfRule type="expression" priority="13" id="{6C11AE2E-4757-4CB2-BC18-9A04A69C7BD3}">
            <xm:f>Daten!$L$17=FALSE</xm:f>
            <x14:dxf>
              <font>
                <color theme="0"/>
              </font>
              <fill>
                <patternFill>
                  <bgColor theme="0"/>
                </patternFill>
              </fill>
              <border>
                <left/>
                <right/>
                <top/>
                <bottom/>
                <vertical/>
                <horizontal/>
              </border>
            </x14:dxf>
          </x14:cfRule>
          <xm:sqref>S21:T21</xm:sqref>
        </x14:conditionalFormatting>
        <x14:conditionalFormatting xmlns:xm="http://schemas.microsoft.com/office/excel/2006/main">
          <x14:cfRule type="expression" priority="12" id="{108C9351-FE32-44AF-A2AD-C5F19AB9A17B}">
            <xm:f>Daten!$L$17=FALSE</xm:f>
            <x14:dxf>
              <font>
                <color theme="0"/>
              </font>
              <fill>
                <patternFill>
                  <bgColor theme="0"/>
                </patternFill>
              </fill>
              <border>
                <left/>
                <right/>
                <top/>
                <bottom/>
                <vertical/>
                <horizontal/>
              </border>
            </x14:dxf>
          </x14:cfRule>
          <xm:sqref>W21:X21</xm:sqref>
        </x14:conditionalFormatting>
        <x14:conditionalFormatting xmlns:xm="http://schemas.microsoft.com/office/excel/2006/main">
          <x14:cfRule type="expression" priority="884" id="{6F8DA2DF-F1A0-4A05-BBDF-8EB504E08702}">
            <xm:f>AND($G$27&lt;&gt;"",Daten!$L$36&lt;&gt;Daten!$M$36)</xm:f>
            <x14:dxf>
              <font>
                <color rgb="FFBE0F34"/>
              </font>
            </x14:dxf>
          </x14:cfRule>
          <xm:sqref>D27</xm:sqref>
        </x14:conditionalFormatting>
        <x14:conditionalFormatting xmlns:xm="http://schemas.microsoft.com/office/excel/2006/main">
          <x14:cfRule type="expression" priority="885" id="{2FBF05B3-FD75-4BA4-A36E-9B0AEBDBEAB4}">
            <xm:f>Daten!$L$38&lt;&gt;Daten!$M$38</xm:f>
            <x14:dxf>
              <font>
                <color theme="2"/>
              </font>
            </x14:dxf>
          </x14:cfRule>
          <xm:sqref>D29</xm:sqref>
        </x14:conditionalFormatting>
        <x14:conditionalFormatting xmlns:xm="http://schemas.microsoft.com/office/excel/2006/main">
          <x14:cfRule type="expression" priority="886" id="{14A8941F-C163-4AD3-BC53-6D26781CE557}">
            <xm:f>Daten!$L$58&lt;&gt;Daten!$M$58</xm:f>
            <x14:dxf>
              <font>
                <color rgb="FFBE0F34"/>
              </font>
            </x14:dxf>
          </x14:cfRule>
          <xm:sqref>V56:X57</xm:sqref>
        </x14:conditionalFormatting>
        <x14:conditionalFormatting xmlns:xm="http://schemas.microsoft.com/office/excel/2006/main">
          <x14:cfRule type="expression" priority="887" id="{6F8DA2DF-F1A0-4A05-BBDF-8EB504E08702}">
            <xm:f>Daten!$L$37&lt;&gt;Daten!$M$37</xm:f>
            <x14:dxf>
              <font>
                <color rgb="FFBE0F34"/>
              </font>
            </x14:dxf>
          </x14:cfRule>
          <xm:sqref>D28</xm:sqref>
        </x14:conditionalFormatting>
        <x14:conditionalFormatting xmlns:xm="http://schemas.microsoft.com/office/excel/2006/main">
          <x14:cfRule type="expression" priority="888" id="{D859ABED-2D26-47F5-A256-651811E4755E}">
            <xm:f>Daten!$L51&lt;&gt;Daten!$M51</xm:f>
            <x14:dxf>
              <font>
                <color rgb="FFBE0F34"/>
              </font>
            </x14:dxf>
          </x14:cfRule>
          <xm:sqref>P40:P43</xm:sqref>
        </x14:conditionalFormatting>
        <x14:conditionalFormatting xmlns:xm="http://schemas.microsoft.com/office/excel/2006/main">
          <x14:cfRule type="expression" priority="889" id="{46430772-C9D9-41AA-B5CA-D088CA6C8A5D}">
            <xm:f>Daten!$L47&lt;&gt;Daten!$M47</xm:f>
            <x14:dxf>
              <font>
                <color rgb="FFBE0F34"/>
              </font>
            </x14:dxf>
          </x14:cfRule>
          <xm:sqref>D40:D43</xm:sqref>
        </x14:conditionalFormatting>
        <x14:conditionalFormatting xmlns:xm="http://schemas.microsoft.com/office/excel/2006/main">
          <x14:cfRule type="expression" priority="890" id="{B2BC85D9-692A-42B5-8BA5-4A3573E264B6}">
            <xm:f>Daten!$L$67&lt;&gt;Daten!$M$67</xm:f>
            <x14:dxf>
              <font>
                <color rgb="FFBE0F34"/>
              </font>
            </x14:dxf>
          </x14:cfRule>
          <xm:sqref>D69</xm:sqref>
        </x14:conditionalFormatting>
        <x14:conditionalFormatting xmlns:xm="http://schemas.microsoft.com/office/excel/2006/main">
          <x14:cfRule type="expression" priority="891" id="{6DA99A50-CCB7-4050-BF14-F1B7FA7146FC}">
            <xm:f>Daten!$L$45&lt;&gt;Daten!$M$45</xm:f>
            <x14:dxf>
              <font>
                <color rgb="FFBE0F34"/>
              </font>
            </x14:dxf>
          </x14:cfRule>
          <xm:sqref>P31</xm:sqref>
        </x14:conditionalFormatting>
        <x14:conditionalFormatting xmlns:xm="http://schemas.microsoft.com/office/excel/2006/main">
          <x14:cfRule type="expression" priority="892" id="{1C4DA100-1F5E-449E-91FB-8B8967942F6B}">
            <xm:f>Daten!$L$62&lt;&gt;Daten!$M$62</xm:f>
            <x14:dxf>
              <font>
                <color theme="2"/>
              </font>
            </x14:dxf>
          </x14:cfRule>
          <xm:sqref>Q56:Q57</xm:sqref>
        </x14:conditionalFormatting>
        <x14:conditionalFormatting xmlns:xm="http://schemas.microsoft.com/office/excel/2006/main">
          <x14:cfRule type="expression" priority="893" id="{14A8941F-C163-4AD3-BC53-6D26781CE557}">
            <xm:f>Daten!$L$62&lt;&gt;Daten!$M$62</xm:f>
            <x14:dxf>
              <font>
                <color rgb="FFBE0F34"/>
              </font>
            </x14:dxf>
          </x14:cfRule>
          <xm:sqref>Q55</xm:sqref>
        </x14:conditionalFormatting>
        <x14:conditionalFormatting xmlns:xm="http://schemas.microsoft.com/office/excel/2006/main">
          <x14:cfRule type="expression" priority="894" id="{1C4DA100-1F5E-449E-91FB-8B8967942F6B}">
            <xm:f>Daten!$L$65&lt;&gt;Daten!$M$65</xm:f>
            <x14:dxf>
              <font>
                <color theme="2"/>
              </font>
            </x14:dxf>
          </x14:cfRule>
          <xm:sqref>D70</xm:sqref>
        </x14:conditionalFormatting>
        <x14:conditionalFormatting xmlns:xm="http://schemas.microsoft.com/office/excel/2006/main">
          <x14:cfRule type="expression" priority="895" id="{0E516351-00F6-427D-A6F8-C61A7B6BC7A6}">
            <xm:f>OR(Daten!$L$62&lt;&gt;Daten!$M$62,Daten!$L$63&lt;&gt;Daten!$M$63)</xm:f>
            <x14:dxf>
              <font>
                <color theme="2"/>
              </font>
            </x14:dxf>
          </x14:cfRule>
          <xm:sqref>D63</xm:sqref>
        </x14:conditionalFormatting>
        <x14:conditionalFormatting xmlns:xm="http://schemas.microsoft.com/office/excel/2006/main">
          <x14:cfRule type="expression" priority="896" id="{AE99A992-9E69-44F7-9AF5-445E577C8742}">
            <xm:f>OR(Daten!$M$59=FALSE,Daten!$M$63=FALSE)</xm:f>
            <x14:dxf>
              <font>
                <color theme="2"/>
              </font>
              <fill>
                <patternFill>
                  <bgColor theme="0"/>
                </patternFill>
              </fill>
            </x14:dxf>
          </x14:cfRule>
          <xm:sqref>S56:U57</xm:sqref>
        </x14:conditionalFormatting>
        <x14:conditionalFormatting xmlns:xm="http://schemas.microsoft.com/office/excel/2006/main">
          <x14:cfRule type="expression" priority="897" id="{00000000-000E-0000-0100-00003A000000}">
            <xm:f>AND(Daten!$L$65=TRUE,Daten!$M$65=FALSE)</xm:f>
            <x14:dxf>
              <fill>
                <patternFill>
                  <bgColor rgb="FFFCE4D6"/>
                </patternFill>
              </fill>
              <border>
                <left style="thin">
                  <color auto="1"/>
                </left>
                <right style="thin">
                  <color auto="1"/>
                </right>
                <top style="thin">
                  <color auto="1"/>
                </top>
                <bottom style="thin">
                  <color auto="1"/>
                </bottom>
              </border>
            </x14:dxf>
          </x14:cfRule>
          <xm:sqref>G70:I70</xm:sqref>
        </x14:conditionalFormatting>
        <x14:conditionalFormatting xmlns:xm="http://schemas.microsoft.com/office/excel/2006/main">
          <x14:cfRule type="expression" priority="901" id="{10ED404E-0D73-4FC4-8618-DCB04B892A70}">
            <xm:f>OR(Daten!$L$55&lt;&gt;Daten!$M$55,AND(Daten!$M$3=TRUE,Daten!$L$87&lt;&gt;Daten!$M$87))</xm:f>
            <x14:dxf>
              <font>
                <color theme="2"/>
              </font>
            </x14:dxf>
          </x14:cfRule>
          <xm:sqref>P44 V44 T44</xm:sqref>
        </x14:conditionalFormatting>
        <x14:conditionalFormatting xmlns:xm="http://schemas.microsoft.com/office/excel/2006/main">
          <x14:cfRule type="expression" priority="909" id="{7127A50A-B0B6-4BE9-A21A-F4C80EF81C47}">
            <xm:f>Daten!$L$69&lt;&gt;Daten!$M$69</xm:f>
            <x14:dxf>
              <font>
                <color theme="2"/>
              </font>
            </x14:dxf>
          </x14:cfRule>
          <xm:sqref>D83 U83</xm:sqref>
        </x14:conditionalFormatting>
        <x14:conditionalFormatting xmlns:xm="http://schemas.microsoft.com/office/excel/2006/main">
          <x14:cfRule type="expression" priority="911" id="{B2BC85D9-692A-42B5-8BA5-4A3573E264B6}">
            <xm:f>Daten!$L$70&lt;&gt;Daten!$M$70</xm:f>
            <x14:dxf>
              <font>
                <color rgb="FFBE0F34"/>
              </font>
            </x14:dxf>
          </x14:cfRule>
          <xm:sqref>D84</xm:sqref>
        </x14:conditionalFormatting>
        <x14:conditionalFormatting xmlns:xm="http://schemas.microsoft.com/office/excel/2006/main">
          <x14:cfRule type="expression" priority="912" id="{FE6B853A-CEBC-4AE4-9F7A-0A5ED989C7DB}">
            <xm:f>Daten!$L$66&lt;&gt;Daten!$M$66</xm:f>
            <x14:dxf>
              <font>
                <color rgb="FFC00000"/>
              </font>
            </x14:dxf>
          </x14:cfRule>
          <xm:sqref>D68</xm:sqref>
        </x14:conditionalFormatting>
        <x14:conditionalFormatting xmlns:xm="http://schemas.microsoft.com/office/excel/2006/main">
          <x14:cfRule type="expression" priority="7" id="{AC869811-D9AC-4B73-B1DD-E9D1B2704490}">
            <xm:f>OR(Daten!$L$43&lt;&gt;Daten!$M$43,AND($L28&lt;&gt;"",$V28=""))</xm:f>
            <x14:dxf>
              <fill>
                <patternFill>
                  <bgColor theme="9" tint="0.79998168889431442"/>
                </patternFill>
              </fill>
              <border>
                <left style="thin">
                  <color auto="1"/>
                </left>
                <right style="thin">
                  <color auto="1"/>
                </right>
                <top style="thin">
                  <color auto="1"/>
                </top>
                <bottom style="thin">
                  <color auto="1"/>
                </bottom>
                <vertical/>
                <horizontal/>
              </border>
            </x14:dxf>
          </x14:cfRule>
          <xm:sqref>V28:X28</xm:sqref>
        </x14:conditionalFormatting>
      </x14:conditionalFormattings>
    </ext>
    <ext xmlns:x14="http://schemas.microsoft.com/office/spreadsheetml/2009/9/main" uri="{CCE6A557-97BC-4b89-ADB6-D9C93CAAB3DF}">
      <x14:dataValidations xmlns:xm="http://schemas.microsoft.com/office/excel/2006/main" xWindow="734" yWindow="540" count="4">
        <x14:dataValidation type="list" allowBlank="1" showInputMessage="1" showErrorMessage="1">
          <x14:formula1>
            <xm:f>INDIRECT(Daten!$O$22)</xm:f>
          </x14:formula1>
          <xm:sqref>G67:H67</xm:sqref>
        </x14:dataValidation>
        <x14:dataValidation type="list" allowBlank="1" showInputMessage="1" showErrorMessage="1">
          <x14:formula1>
            <xm:f>INDIRECT(Daten!$R$93)</xm:f>
          </x14:formula1>
          <xm:sqref>K22:L22</xm:sqref>
        </x14:dataValidation>
        <x14:dataValidation type="list" allowBlank="1" showInputMessage="1" showErrorMessage="1">
          <x14:formula1>
            <xm:f>Daten!$Q$96:$Q$101</xm:f>
          </x14:formula1>
          <xm:sqref>Q22</xm:sqref>
        </x14:dataValidation>
        <x14:dataValidation type="decimal" operator="greaterThanOrEqual" allowBlank="1" showInputMessage="1" showErrorMessage="1">
          <x14:formula1>
            <xm:f>Grunddaten!H58</xm:f>
          </x14:formula1>
          <xm:sqref>S59:U59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03">
    <pageSetUpPr autoPageBreaks="0" fitToPage="1"/>
  </sheetPr>
  <dimension ref="A1:U98"/>
  <sheetViews>
    <sheetView showGridLines="0" showRowColHeaders="0" zoomScaleNormal="100" workbookViewId="0">
      <pane ySplit="6" topLeftCell="A7" activePane="bottomLeft" state="frozen"/>
      <selection activeCell="A4" sqref="A4"/>
      <selection pane="bottomLeft" activeCell="A4" sqref="A4"/>
    </sheetView>
  </sheetViews>
  <sheetFormatPr baseColWidth="10" defaultColWidth="10.25" defaultRowHeight="12.75" customHeight="1" x14ac:dyDescent="0.2"/>
  <cols>
    <col min="1" max="1" width="5.125" style="32" customWidth="1"/>
    <col min="2" max="2" width="14.125" style="35" customWidth="1"/>
    <col min="3" max="9" width="14.625" style="32" customWidth="1"/>
    <col min="10" max="10" width="4.625" style="32" customWidth="1"/>
    <col min="11" max="11" width="10.375" style="32" hidden="1" customWidth="1"/>
    <col min="12" max="12" width="4.625" style="32" hidden="1" customWidth="1"/>
    <col min="13" max="16" width="18.625" style="54" hidden="1" customWidth="1"/>
    <col min="17" max="18" width="14.625" style="54" hidden="1" customWidth="1"/>
    <col min="19" max="21" width="14.625" style="53" hidden="1" customWidth="1"/>
    <col min="22" max="22" width="4.625" style="32" customWidth="1"/>
    <col min="23" max="24" width="10.25" style="32"/>
    <col min="25" max="26" width="10.25" style="32" customWidth="1"/>
    <col min="27" max="27" width="10.25" style="32"/>
    <col min="28" max="35" width="10.25" style="32" customWidth="1"/>
    <col min="36" max="16384" width="10.25" style="32"/>
  </cols>
  <sheetData>
    <row r="1" spans="1:21" s="51" customFormat="1" ht="14.1" hidden="1" customHeight="1" x14ac:dyDescent="0.2">
      <c r="A1" s="297"/>
      <c r="B1" s="1250" t="s">
        <v>150</v>
      </c>
      <c r="C1" s="1250"/>
      <c r="D1" s="448" t="b">
        <v>1</v>
      </c>
      <c r="E1" s="1251" t="s">
        <v>663</v>
      </c>
      <c r="F1" s="1251"/>
      <c r="G1" s="448" t="b">
        <v>0</v>
      </c>
      <c r="H1" s="761" t="s">
        <v>662</v>
      </c>
      <c r="I1" s="448" t="b">
        <v>0</v>
      </c>
      <c r="J1" s="298"/>
      <c r="K1" s="295" t="b">
        <v>0</v>
      </c>
      <c r="L1" s="47"/>
      <c r="M1" s="56"/>
      <c r="N1" s="56"/>
      <c r="O1" s="58"/>
      <c r="P1" s="58"/>
      <c r="Q1" s="58"/>
      <c r="R1" s="58"/>
      <c r="S1" s="57"/>
      <c r="T1" s="57"/>
      <c r="U1" s="57"/>
    </row>
    <row r="2" spans="1:21" s="51" customFormat="1" ht="14.1" hidden="1" customHeight="1" x14ac:dyDescent="0.2">
      <c r="A2" s="50"/>
      <c r="B2" s="554" t="s">
        <v>80</v>
      </c>
      <c r="C2" s="554" t="s">
        <v>80</v>
      </c>
      <c r="D2" s="554" t="s">
        <v>80</v>
      </c>
      <c r="E2" s="554" t="s">
        <v>80</v>
      </c>
      <c r="F2" s="554" t="s">
        <v>80</v>
      </c>
      <c r="G2" s="554" t="s">
        <v>80</v>
      </c>
      <c r="H2" s="554" t="s">
        <v>80</v>
      </c>
      <c r="I2" s="554" t="s">
        <v>80</v>
      </c>
      <c r="J2" s="47"/>
      <c r="K2" s="295" t="b">
        <v>0</v>
      </c>
      <c r="L2" s="141"/>
      <c r="M2" s="56"/>
      <c r="N2" s="56"/>
      <c r="O2" s="58"/>
      <c r="P2" s="58"/>
      <c r="Q2" s="58"/>
      <c r="R2" s="58"/>
      <c r="S2" s="57"/>
      <c r="T2" s="57"/>
      <c r="U2" s="57"/>
    </row>
    <row r="3" spans="1:21" s="47" customFormat="1" ht="14.1" hidden="1" customHeight="1" x14ac:dyDescent="0.2">
      <c r="A3" s="63"/>
      <c r="B3" s="555" t="s">
        <v>80</v>
      </c>
      <c r="C3" s="555" t="s">
        <v>80</v>
      </c>
      <c r="D3" s="555" t="s">
        <v>80</v>
      </c>
      <c r="E3" s="555" t="s">
        <v>80</v>
      </c>
      <c r="F3" s="555" t="s">
        <v>80</v>
      </c>
      <c r="G3" s="555" t="s">
        <v>80</v>
      </c>
      <c r="H3" s="555" t="s">
        <v>80</v>
      </c>
      <c r="I3" s="555" t="s">
        <v>80</v>
      </c>
      <c r="K3" s="228" t="b">
        <v>0</v>
      </c>
      <c r="M3" s="56"/>
      <c r="N3" s="56"/>
      <c r="O3" s="56"/>
      <c r="P3" s="56"/>
      <c r="Q3" s="56"/>
      <c r="R3" s="56"/>
      <c r="S3" s="55"/>
      <c r="T3" s="55"/>
      <c r="U3" s="55"/>
    </row>
    <row r="4" spans="1:21" s="51" customFormat="1" ht="18" customHeight="1" thickBot="1" x14ac:dyDescent="0.25">
      <c r="B4" s="52"/>
      <c r="E4" s="47"/>
      <c r="F4" s="47"/>
      <c r="K4" s="228" t="b">
        <v>1</v>
      </c>
      <c r="M4" s="58"/>
      <c r="N4" s="58"/>
      <c r="O4" s="58"/>
      <c r="P4" s="58"/>
      <c r="Q4" s="58"/>
      <c r="R4" s="58"/>
      <c r="S4" s="57"/>
      <c r="T4" s="57"/>
      <c r="U4" s="57"/>
    </row>
    <row r="5" spans="1:21" ht="15" customHeight="1" thickTop="1" x14ac:dyDescent="0.2">
      <c r="B5" s="1267">
        <f ca="1">Programmversionen!B5</f>
        <v>45322</v>
      </c>
      <c r="C5" s="1268"/>
      <c r="D5" s="1271" t="s">
        <v>160</v>
      </c>
      <c r="E5" s="1272"/>
      <c r="F5" s="1272"/>
      <c r="G5" s="1272"/>
      <c r="H5" s="1274" t="str">
        <f ca="1">Programmversionen!J5</f>
        <v xml:space="preserve">Version: 24.03 </v>
      </c>
      <c r="I5" s="1275"/>
      <c r="K5" s="228" t="b">
        <v>1</v>
      </c>
      <c r="M5" s="55"/>
      <c r="N5" s="55"/>
      <c r="O5" s="56"/>
      <c r="P5" s="65"/>
    </row>
    <row r="6" spans="1:21" ht="15" customHeight="1" thickBot="1" x14ac:dyDescent="0.25">
      <c r="B6" s="1269"/>
      <c r="C6" s="1270"/>
      <c r="D6" s="1273"/>
      <c r="E6" s="1273"/>
      <c r="F6" s="1273"/>
      <c r="G6" s="1273"/>
      <c r="H6" s="1276"/>
      <c r="I6" s="1277"/>
      <c r="K6" s="228" t="b">
        <v>1</v>
      </c>
      <c r="M6" s="66"/>
      <c r="N6" s="66"/>
      <c r="O6" s="56"/>
      <c r="P6" s="65"/>
    </row>
    <row r="7" spans="1:21" s="51" customFormat="1" ht="15.95" customHeight="1" thickTop="1" x14ac:dyDescent="0.2">
      <c r="B7" s="49"/>
      <c r="C7" s="62"/>
      <c r="D7" s="62"/>
      <c r="E7" s="61"/>
      <c r="F7" s="61"/>
      <c r="G7" s="60"/>
      <c r="H7" s="59"/>
      <c r="I7" s="59"/>
      <c r="K7" s="228" t="b">
        <v>1</v>
      </c>
      <c r="M7" s="66"/>
      <c r="N7" s="66"/>
      <c r="O7" s="56"/>
      <c r="P7" s="65"/>
      <c r="Q7" s="58"/>
      <c r="R7" s="58"/>
      <c r="S7" s="57"/>
      <c r="T7" s="57"/>
      <c r="U7" s="57"/>
    </row>
    <row r="8" spans="1:21" s="51" customFormat="1" ht="15.95" customHeight="1" thickBot="1" x14ac:dyDescent="0.25">
      <c r="B8" s="49"/>
      <c r="C8" s="62"/>
      <c r="D8" s="62"/>
      <c r="E8" s="61"/>
      <c r="F8" s="61"/>
      <c r="G8" s="60"/>
      <c r="H8" s="59"/>
      <c r="I8" s="59"/>
      <c r="K8" s="228" t="b">
        <v>1</v>
      </c>
      <c r="M8" s="66"/>
      <c r="N8" s="66"/>
      <c r="O8" s="56"/>
      <c r="P8" s="65"/>
      <c r="Q8" s="58"/>
      <c r="R8" s="58"/>
      <c r="S8" s="57"/>
      <c r="T8" s="57"/>
      <c r="U8" s="57"/>
    </row>
    <row r="9" spans="1:21" ht="50.1" customHeight="1" thickTop="1" thickBot="1" x14ac:dyDescent="0.25">
      <c r="B9" s="272"/>
      <c r="C9" s="842"/>
      <c r="D9" s="1263" t="s">
        <v>38</v>
      </c>
      <c r="E9" s="1263"/>
      <c r="F9" s="1263"/>
      <c r="G9" s="1263"/>
      <c r="H9" s="842"/>
      <c r="I9" s="843"/>
      <c r="J9" s="51"/>
      <c r="K9" s="228" t="b">
        <v>1</v>
      </c>
    </row>
    <row r="10" spans="1:21" ht="39.950000000000003" customHeight="1" thickTop="1" x14ac:dyDescent="0.2">
      <c r="B10" s="848" t="s">
        <v>338</v>
      </c>
      <c r="C10" s="849" t="s">
        <v>339</v>
      </c>
      <c r="D10" s="849" t="s">
        <v>159</v>
      </c>
      <c r="E10" s="849" t="s">
        <v>340</v>
      </c>
      <c r="F10" s="849" t="s">
        <v>335</v>
      </c>
      <c r="G10" s="849" t="s">
        <v>336</v>
      </c>
      <c r="H10" s="849" t="s">
        <v>337</v>
      </c>
      <c r="I10" s="850" t="s">
        <v>713</v>
      </c>
      <c r="J10" s="51"/>
      <c r="K10" s="228" t="b">
        <v>1</v>
      </c>
    </row>
    <row r="11" spans="1:21" s="51" customFormat="1" ht="15.95" customHeight="1" x14ac:dyDescent="0.2">
      <c r="B11" s="851">
        <v>41640</v>
      </c>
      <c r="C11" s="846">
        <v>8.6199999999999992</v>
      </c>
      <c r="D11" s="846">
        <v>1.22</v>
      </c>
      <c r="E11" s="846">
        <v>82.6</v>
      </c>
      <c r="F11" s="846">
        <v>279.35000000000002</v>
      </c>
      <c r="G11" s="846">
        <v>36.43</v>
      </c>
      <c r="H11" s="847">
        <v>2</v>
      </c>
      <c r="I11" s="855">
        <v>1</v>
      </c>
      <c r="K11" s="229" t="b">
        <f t="shared" ref="K11:K35" si="0">IF(B11="",FALSE,TRUE)</f>
        <v>1</v>
      </c>
      <c r="M11" s="861" t="b">
        <f ca="1">IF(AND(B11&lt;&gt;"",B11&lt;=Daten!$O$5,OR(B12="",B12&gt;Daten!$O$5)),TRUE,FALSE)</f>
        <v>0</v>
      </c>
      <c r="N11" s="58"/>
      <c r="O11" s="58"/>
      <c r="P11" s="58"/>
      <c r="Q11" s="58"/>
      <c r="R11" s="58"/>
      <c r="S11" s="57"/>
      <c r="T11" s="57"/>
      <c r="U11" s="57"/>
    </row>
    <row r="12" spans="1:21" s="51" customFormat="1" ht="15.95" customHeight="1" x14ac:dyDescent="0.2">
      <c r="B12" s="851">
        <v>42736</v>
      </c>
      <c r="C12" s="846">
        <v>8.7799999999999994</v>
      </c>
      <c r="D12" s="846">
        <v>1.24</v>
      </c>
      <c r="E12" s="846">
        <v>84.16</v>
      </c>
      <c r="F12" s="846">
        <v>284.63</v>
      </c>
      <c r="G12" s="846">
        <v>37.119999999999997</v>
      </c>
      <c r="H12" s="847">
        <v>2</v>
      </c>
      <c r="I12" s="855">
        <v>1</v>
      </c>
      <c r="K12" s="229" t="b">
        <f t="shared" si="0"/>
        <v>1</v>
      </c>
      <c r="M12" s="861" t="b">
        <f ca="1">IF(AND(B12&lt;&gt;"",B12&lt;=Daten!$O$5,OR(B13="",B13&gt;Daten!$O$5)),TRUE,FALSE)</f>
        <v>0</v>
      </c>
      <c r="N12" s="58"/>
      <c r="O12" s="58"/>
      <c r="P12" s="58"/>
      <c r="Q12" s="58"/>
      <c r="R12" s="58"/>
      <c r="S12" s="57"/>
      <c r="T12" s="57"/>
      <c r="U12" s="57"/>
    </row>
    <row r="13" spans="1:21" s="51" customFormat="1" ht="15.95" customHeight="1" x14ac:dyDescent="0.2">
      <c r="B13" s="851">
        <v>43831</v>
      </c>
      <c r="C13" s="846">
        <v>9.2100000000000009</v>
      </c>
      <c r="D13" s="846">
        <v>1.3</v>
      </c>
      <c r="E13" s="846">
        <v>88.23</v>
      </c>
      <c r="F13" s="846">
        <v>298.41000000000003</v>
      </c>
      <c r="G13" s="846">
        <v>38.92</v>
      </c>
      <c r="H13" s="847">
        <v>2</v>
      </c>
      <c r="I13" s="855">
        <v>1</v>
      </c>
      <c r="K13" s="229" t="b">
        <f t="shared" si="0"/>
        <v>1</v>
      </c>
      <c r="M13" s="861" t="b">
        <f ca="1">IF(AND(B13&lt;&gt;"",B13&lt;=Daten!$O$5,OR(B14="",B14&gt;Daten!$O$5)),TRUE,FALSE)</f>
        <v>0</v>
      </c>
      <c r="N13" s="58"/>
      <c r="O13" s="58"/>
      <c r="P13" s="58"/>
      <c r="Q13" s="58"/>
      <c r="R13" s="58"/>
      <c r="S13" s="57"/>
      <c r="T13" s="57"/>
      <c r="U13" s="57"/>
    </row>
    <row r="14" spans="1:21" s="51" customFormat="1" ht="15.95" customHeight="1" x14ac:dyDescent="0.2">
      <c r="B14" s="851">
        <v>44927</v>
      </c>
      <c r="C14" s="846">
        <v>10.61</v>
      </c>
      <c r="D14" s="846">
        <v>1.5</v>
      </c>
      <c r="E14" s="846">
        <v>101.62</v>
      </c>
      <c r="F14" s="846">
        <v>343.69</v>
      </c>
      <c r="G14" s="846">
        <v>44.83</v>
      </c>
      <c r="H14" s="847">
        <v>2</v>
      </c>
      <c r="I14" s="855">
        <v>1</v>
      </c>
      <c r="K14" s="229" t="b">
        <f t="shared" si="0"/>
        <v>1</v>
      </c>
      <c r="M14" s="861" t="b">
        <f ca="1">IF(AND(B14&lt;&gt;"",B14&lt;=Daten!$O$5,OR(B15="",B15&gt;Daten!$O$5)),TRUE,FALSE)</f>
        <v>1</v>
      </c>
      <c r="N14" s="58"/>
      <c r="O14" s="58"/>
      <c r="P14" s="58"/>
      <c r="Q14" s="58"/>
      <c r="R14" s="58"/>
      <c r="S14" s="57"/>
      <c r="T14" s="57"/>
      <c r="U14" s="57"/>
    </row>
    <row r="15" spans="1:21" s="51" customFormat="1" ht="15.95" hidden="1" customHeight="1" x14ac:dyDescent="0.2">
      <c r="B15" s="851"/>
      <c r="C15" s="846"/>
      <c r="D15" s="846"/>
      <c r="E15" s="846"/>
      <c r="F15" s="846"/>
      <c r="G15" s="846"/>
      <c r="H15" s="847"/>
      <c r="I15" s="855"/>
      <c r="K15" s="229" t="b">
        <f t="shared" si="0"/>
        <v>0</v>
      </c>
      <c r="M15" s="861" t="b">
        <f ca="1">IF(AND(B15&lt;&gt;"",B15&lt;=Daten!$O$5,OR(B16="",B16&gt;Daten!$O$5)),TRUE,FALSE)</f>
        <v>0</v>
      </c>
      <c r="N15" s="58"/>
      <c r="O15" s="58"/>
      <c r="P15" s="58"/>
      <c r="Q15" s="58"/>
      <c r="R15" s="58"/>
      <c r="S15" s="57"/>
      <c r="T15" s="57"/>
      <c r="U15" s="57"/>
    </row>
    <row r="16" spans="1:21" s="51" customFormat="1" ht="15.95" hidden="1" customHeight="1" x14ac:dyDescent="0.2">
      <c r="B16" s="851"/>
      <c r="C16" s="846"/>
      <c r="D16" s="846"/>
      <c r="E16" s="846"/>
      <c r="F16" s="846"/>
      <c r="G16" s="846"/>
      <c r="H16" s="847"/>
      <c r="I16" s="855"/>
      <c r="K16" s="229" t="b">
        <f t="shared" si="0"/>
        <v>0</v>
      </c>
      <c r="M16" s="861" t="b">
        <f ca="1">IF(AND(B16&lt;&gt;"",B16&lt;=Daten!$O$5,OR(B17="",B17&gt;Daten!$O$5)),TRUE,FALSE)</f>
        <v>0</v>
      </c>
      <c r="N16" s="58"/>
      <c r="O16" s="58"/>
      <c r="P16" s="58"/>
      <c r="Q16" s="58"/>
      <c r="R16" s="58"/>
      <c r="S16" s="57"/>
      <c r="T16" s="57"/>
      <c r="U16" s="57"/>
    </row>
    <row r="17" spans="2:21" s="51" customFormat="1" ht="15.95" hidden="1" customHeight="1" x14ac:dyDescent="0.2">
      <c r="B17" s="851"/>
      <c r="C17" s="846"/>
      <c r="D17" s="846"/>
      <c r="E17" s="846"/>
      <c r="F17" s="846"/>
      <c r="G17" s="846"/>
      <c r="H17" s="847"/>
      <c r="I17" s="855"/>
      <c r="K17" s="229" t="b">
        <f t="shared" si="0"/>
        <v>0</v>
      </c>
      <c r="M17" s="861" t="b">
        <f ca="1">IF(AND(B17&lt;&gt;"",B17&lt;=Daten!$O$5,OR(B18="",B18&gt;Daten!$O$5)),TRUE,FALSE)</f>
        <v>0</v>
      </c>
      <c r="N17" s="58"/>
      <c r="O17" s="58"/>
      <c r="P17" s="58"/>
      <c r="Q17" s="58"/>
      <c r="R17" s="58"/>
      <c r="S17" s="57"/>
      <c r="T17" s="57"/>
      <c r="U17" s="57"/>
    </row>
    <row r="18" spans="2:21" s="51" customFormat="1" ht="15.95" hidden="1" customHeight="1" x14ac:dyDescent="0.2">
      <c r="B18" s="851"/>
      <c r="C18" s="846"/>
      <c r="D18" s="846"/>
      <c r="E18" s="846"/>
      <c r="F18" s="846"/>
      <c r="G18" s="846"/>
      <c r="H18" s="847"/>
      <c r="I18" s="855"/>
      <c r="K18" s="229" t="b">
        <f t="shared" si="0"/>
        <v>0</v>
      </c>
      <c r="M18" s="861" t="b">
        <f ca="1">IF(AND(B18&lt;&gt;"",B18&lt;=Daten!$O$5,OR(B19="",B19&gt;Daten!$O$5)),TRUE,FALSE)</f>
        <v>0</v>
      </c>
      <c r="N18" s="58"/>
      <c r="O18" s="58"/>
      <c r="P18" s="58"/>
      <c r="Q18" s="58"/>
      <c r="R18" s="58"/>
      <c r="S18" s="57"/>
      <c r="T18" s="57"/>
      <c r="U18" s="57"/>
    </row>
    <row r="19" spans="2:21" s="51" customFormat="1" ht="15.95" hidden="1" customHeight="1" x14ac:dyDescent="0.2">
      <c r="B19" s="851"/>
      <c r="C19" s="846"/>
      <c r="D19" s="846"/>
      <c r="E19" s="846"/>
      <c r="F19" s="846"/>
      <c r="G19" s="846"/>
      <c r="H19" s="847"/>
      <c r="I19" s="855"/>
      <c r="K19" s="229" t="b">
        <f t="shared" si="0"/>
        <v>0</v>
      </c>
      <c r="M19" s="861" t="b">
        <f ca="1">IF(AND(B19&lt;&gt;"",B19&lt;=Daten!$O$5,OR(B20="",B20&gt;Daten!$O$5)),TRUE,FALSE)</f>
        <v>0</v>
      </c>
      <c r="N19" s="58"/>
      <c r="O19" s="58"/>
      <c r="P19" s="58"/>
      <c r="Q19" s="58"/>
      <c r="R19" s="58"/>
      <c r="S19" s="57"/>
      <c r="T19" s="57"/>
      <c r="U19" s="57"/>
    </row>
    <row r="20" spans="2:21" s="51" customFormat="1" ht="15.95" hidden="1" customHeight="1" x14ac:dyDescent="0.2">
      <c r="B20" s="851"/>
      <c r="C20" s="846"/>
      <c r="D20" s="846"/>
      <c r="E20" s="846"/>
      <c r="F20" s="846"/>
      <c r="G20" s="846"/>
      <c r="H20" s="847"/>
      <c r="I20" s="855"/>
      <c r="K20" s="229" t="b">
        <f t="shared" si="0"/>
        <v>0</v>
      </c>
      <c r="M20" s="861" t="b">
        <f ca="1">IF(AND(B20&lt;&gt;"",B20&lt;=Daten!$O$5,OR(B21="",B21&gt;Daten!$O$5)),TRUE,FALSE)</f>
        <v>0</v>
      </c>
      <c r="N20" s="58"/>
      <c r="O20" s="58"/>
      <c r="P20" s="58"/>
      <c r="Q20" s="58"/>
      <c r="R20" s="58"/>
      <c r="S20" s="57"/>
      <c r="T20" s="57"/>
      <c r="U20" s="57"/>
    </row>
    <row r="21" spans="2:21" s="51" customFormat="1" ht="15.95" hidden="1" customHeight="1" x14ac:dyDescent="0.2">
      <c r="B21" s="851"/>
      <c r="C21" s="846"/>
      <c r="D21" s="846"/>
      <c r="E21" s="846"/>
      <c r="F21" s="846"/>
      <c r="G21" s="846"/>
      <c r="H21" s="847"/>
      <c r="I21" s="855"/>
      <c r="K21" s="229" t="b">
        <f t="shared" si="0"/>
        <v>0</v>
      </c>
      <c r="M21" s="861" t="b">
        <f ca="1">IF(AND(B21&lt;&gt;"",B21&lt;=Daten!$O$5,OR(B22="",B22&gt;Daten!$O$5)),TRUE,FALSE)</f>
        <v>0</v>
      </c>
      <c r="N21" s="58"/>
      <c r="O21" s="58"/>
      <c r="P21" s="58"/>
      <c r="Q21" s="58"/>
      <c r="R21" s="58"/>
      <c r="S21" s="57"/>
      <c r="T21" s="57"/>
      <c r="U21" s="57"/>
    </row>
    <row r="22" spans="2:21" s="51" customFormat="1" ht="15.95" hidden="1" customHeight="1" x14ac:dyDescent="0.2">
      <c r="B22" s="851"/>
      <c r="C22" s="846"/>
      <c r="D22" s="846"/>
      <c r="E22" s="846"/>
      <c r="F22" s="846"/>
      <c r="G22" s="846"/>
      <c r="H22" s="847"/>
      <c r="I22" s="855"/>
      <c r="K22" s="229" t="b">
        <f t="shared" si="0"/>
        <v>0</v>
      </c>
      <c r="M22" s="861" t="b">
        <f ca="1">IF(AND(B22&lt;&gt;"",B22&lt;=Daten!$O$5,OR(B23="",B23&gt;Daten!$O$5)),TRUE,FALSE)</f>
        <v>0</v>
      </c>
      <c r="N22" s="58"/>
      <c r="O22" s="58"/>
      <c r="P22" s="58"/>
      <c r="Q22" s="58"/>
      <c r="R22" s="58"/>
      <c r="S22" s="57"/>
      <c r="T22" s="57"/>
      <c r="U22" s="57"/>
    </row>
    <row r="23" spans="2:21" s="51" customFormat="1" ht="15.95" hidden="1" customHeight="1" x14ac:dyDescent="0.2">
      <c r="B23" s="851"/>
      <c r="C23" s="846"/>
      <c r="D23" s="846"/>
      <c r="E23" s="846"/>
      <c r="F23" s="846"/>
      <c r="G23" s="846"/>
      <c r="H23" s="847"/>
      <c r="I23" s="855"/>
      <c r="K23" s="229" t="b">
        <f t="shared" si="0"/>
        <v>0</v>
      </c>
      <c r="M23" s="861" t="b">
        <f ca="1">IF(AND(B23&lt;&gt;"",B23&lt;=Daten!$O$5,OR(B24="",B24&gt;Daten!$O$5)),TRUE,FALSE)</f>
        <v>0</v>
      </c>
      <c r="N23" s="58"/>
      <c r="O23" s="58"/>
      <c r="P23" s="58"/>
      <c r="Q23" s="58"/>
      <c r="R23" s="58"/>
      <c r="S23" s="57"/>
      <c r="T23" s="57"/>
      <c r="U23" s="57"/>
    </row>
    <row r="24" spans="2:21" s="51" customFormat="1" ht="15.95" hidden="1" customHeight="1" x14ac:dyDescent="0.2">
      <c r="B24" s="851"/>
      <c r="C24" s="846"/>
      <c r="D24" s="846"/>
      <c r="E24" s="846"/>
      <c r="F24" s="846"/>
      <c r="G24" s="846"/>
      <c r="H24" s="847"/>
      <c r="I24" s="855"/>
      <c r="K24" s="229" t="b">
        <f t="shared" si="0"/>
        <v>0</v>
      </c>
      <c r="M24" s="861" t="b">
        <f ca="1">IF(AND(B24&lt;&gt;"",B24&lt;=Daten!$O$5,OR(B25="",B25&gt;Daten!$O$5)),TRUE,FALSE)</f>
        <v>0</v>
      </c>
      <c r="N24" s="58"/>
      <c r="O24" s="58"/>
      <c r="P24" s="58"/>
      <c r="Q24" s="58"/>
      <c r="R24" s="58"/>
      <c r="S24" s="57"/>
      <c r="T24" s="57"/>
      <c r="U24" s="57"/>
    </row>
    <row r="25" spans="2:21" s="51" customFormat="1" ht="15.95" hidden="1" customHeight="1" x14ac:dyDescent="0.2">
      <c r="B25" s="851"/>
      <c r="C25" s="846"/>
      <c r="D25" s="846"/>
      <c r="E25" s="846"/>
      <c r="F25" s="846"/>
      <c r="G25" s="846"/>
      <c r="H25" s="847"/>
      <c r="I25" s="855"/>
      <c r="K25" s="229" t="b">
        <f t="shared" si="0"/>
        <v>0</v>
      </c>
      <c r="M25" s="861" t="b">
        <f ca="1">IF(AND(B25&lt;&gt;"",B25&lt;=Daten!$O$5,OR(B26="",B26&gt;Daten!$O$5)),TRUE,FALSE)</f>
        <v>0</v>
      </c>
      <c r="N25" s="58"/>
      <c r="O25" s="58"/>
      <c r="P25" s="58"/>
      <c r="Q25" s="58"/>
      <c r="R25" s="58"/>
      <c r="S25" s="57"/>
      <c r="T25" s="57"/>
      <c r="U25" s="57"/>
    </row>
    <row r="26" spans="2:21" s="51" customFormat="1" ht="15.95" hidden="1" customHeight="1" x14ac:dyDescent="0.2">
      <c r="B26" s="851"/>
      <c r="C26" s="846"/>
      <c r="D26" s="846"/>
      <c r="E26" s="846"/>
      <c r="F26" s="846"/>
      <c r="G26" s="846"/>
      <c r="H26" s="847"/>
      <c r="I26" s="855"/>
      <c r="K26" s="229" t="b">
        <f t="shared" si="0"/>
        <v>0</v>
      </c>
      <c r="M26" s="861" t="b">
        <f ca="1">IF(AND(B26&lt;&gt;"",B26&lt;=Daten!$O$5,OR(B27="",B27&gt;Daten!$O$5)),TRUE,FALSE)</f>
        <v>0</v>
      </c>
      <c r="N26" s="58"/>
      <c r="O26" s="58"/>
      <c r="P26" s="58"/>
      <c r="Q26" s="58"/>
      <c r="R26" s="58"/>
      <c r="S26" s="57"/>
      <c r="T26" s="57"/>
      <c r="U26" s="57"/>
    </row>
    <row r="27" spans="2:21" s="51" customFormat="1" ht="15.95" hidden="1" customHeight="1" x14ac:dyDescent="0.2">
      <c r="B27" s="851"/>
      <c r="C27" s="846"/>
      <c r="D27" s="846"/>
      <c r="E27" s="846"/>
      <c r="F27" s="846"/>
      <c r="G27" s="846"/>
      <c r="H27" s="847"/>
      <c r="I27" s="855"/>
      <c r="K27" s="229" t="b">
        <f t="shared" si="0"/>
        <v>0</v>
      </c>
      <c r="M27" s="861" t="b">
        <f ca="1">IF(AND(B27&lt;&gt;"",B27&lt;=Daten!$O$5,OR(B28="",B28&gt;Daten!$O$5)),TRUE,FALSE)</f>
        <v>0</v>
      </c>
      <c r="N27" s="58"/>
      <c r="O27" s="58"/>
      <c r="P27" s="58"/>
      <c r="Q27" s="58"/>
      <c r="R27" s="58"/>
      <c r="S27" s="57"/>
      <c r="T27" s="57"/>
      <c r="U27" s="57"/>
    </row>
    <row r="28" spans="2:21" s="51" customFormat="1" ht="15.95" hidden="1" customHeight="1" x14ac:dyDescent="0.2">
      <c r="B28" s="851"/>
      <c r="C28" s="846"/>
      <c r="D28" s="846"/>
      <c r="E28" s="846"/>
      <c r="F28" s="846"/>
      <c r="G28" s="846"/>
      <c r="H28" s="847"/>
      <c r="I28" s="855"/>
      <c r="K28" s="229" t="b">
        <f t="shared" si="0"/>
        <v>0</v>
      </c>
      <c r="M28" s="861" t="b">
        <f ca="1">IF(AND(B28&lt;&gt;"",B28&lt;=Daten!$O$5,OR(B29="",B29&gt;Daten!$O$5)),TRUE,FALSE)</f>
        <v>0</v>
      </c>
      <c r="N28" s="58"/>
      <c r="O28" s="58"/>
      <c r="P28" s="58"/>
      <c r="Q28" s="58"/>
      <c r="R28" s="58"/>
      <c r="S28" s="57"/>
      <c r="T28" s="57"/>
      <c r="U28" s="57"/>
    </row>
    <row r="29" spans="2:21" s="51" customFormat="1" ht="15.95" hidden="1" customHeight="1" x14ac:dyDescent="0.2">
      <c r="B29" s="851"/>
      <c r="C29" s="846"/>
      <c r="D29" s="846"/>
      <c r="E29" s="846"/>
      <c r="F29" s="846"/>
      <c r="G29" s="846"/>
      <c r="H29" s="847"/>
      <c r="I29" s="855"/>
      <c r="K29" s="229" t="b">
        <f t="shared" si="0"/>
        <v>0</v>
      </c>
      <c r="M29" s="861" t="b">
        <f ca="1">IF(AND(B29&lt;&gt;"",B29&lt;=Daten!$O$5,OR(B30="",B30&gt;Daten!$O$5)),TRUE,FALSE)</f>
        <v>0</v>
      </c>
      <c r="N29" s="58"/>
      <c r="O29" s="58"/>
      <c r="P29" s="58"/>
      <c r="Q29" s="58"/>
      <c r="R29" s="58"/>
      <c r="S29" s="57"/>
      <c r="T29" s="57"/>
      <c r="U29" s="57"/>
    </row>
    <row r="30" spans="2:21" s="51" customFormat="1" ht="15.95" hidden="1" customHeight="1" x14ac:dyDescent="0.2">
      <c r="B30" s="851"/>
      <c r="C30" s="846"/>
      <c r="D30" s="846"/>
      <c r="E30" s="846"/>
      <c r="F30" s="846"/>
      <c r="G30" s="846"/>
      <c r="H30" s="847"/>
      <c r="I30" s="855"/>
      <c r="K30" s="229" t="b">
        <f t="shared" si="0"/>
        <v>0</v>
      </c>
      <c r="M30" s="861" t="b">
        <f ca="1">IF(AND(B30&lt;&gt;"",B30&lt;=Daten!$O$5,OR(B31="",B31&gt;Daten!$O$5)),TRUE,FALSE)</f>
        <v>0</v>
      </c>
      <c r="N30" s="58"/>
      <c r="O30" s="58"/>
      <c r="P30" s="58"/>
      <c r="Q30" s="58"/>
      <c r="R30" s="58"/>
      <c r="S30" s="57"/>
      <c r="T30" s="57"/>
      <c r="U30" s="57"/>
    </row>
    <row r="31" spans="2:21" s="51" customFormat="1" ht="15.95" hidden="1" customHeight="1" x14ac:dyDescent="0.2">
      <c r="B31" s="851"/>
      <c r="C31" s="846"/>
      <c r="D31" s="846"/>
      <c r="E31" s="846"/>
      <c r="F31" s="846"/>
      <c r="G31" s="846"/>
      <c r="H31" s="847"/>
      <c r="I31" s="855"/>
      <c r="K31" s="229" t="b">
        <f t="shared" si="0"/>
        <v>0</v>
      </c>
      <c r="M31" s="861" t="b">
        <f ca="1">IF(AND(B31&lt;&gt;"",B31&lt;=Daten!$O$5,OR(B32="",B32&gt;Daten!$O$5)),TRUE,FALSE)</f>
        <v>0</v>
      </c>
      <c r="N31" s="58"/>
      <c r="O31" s="58"/>
      <c r="P31" s="58"/>
      <c r="Q31" s="58"/>
      <c r="R31" s="58"/>
      <c r="S31" s="57"/>
      <c r="T31" s="57"/>
      <c r="U31" s="57"/>
    </row>
    <row r="32" spans="2:21" s="51" customFormat="1" ht="15.95" hidden="1" customHeight="1" x14ac:dyDescent="0.2">
      <c r="B32" s="851"/>
      <c r="C32" s="846"/>
      <c r="D32" s="846"/>
      <c r="E32" s="846"/>
      <c r="F32" s="846"/>
      <c r="G32" s="846"/>
      <c r="H32" s="847"/>
      <c r="I32" s="855"/>
      <c r="K32" s="229" t="b">
        <f t="shared" si="0"/>
        <v>0</v>
      </c>
      <c r="M32" s="861" t="b">
        <f ca="1">IF(AND(B32&lt;&gt;"",B32&lt;=Daten!$O$5,OR(B33="",B33&gt;Daten!$O$5)),TRUE,FALSE)</f>
        <v>0</v>
      </c>
      <c r="N32" s="58"/>
      <c r="O32" s="58"/>
      <c r="P32" s="58"/>
      <c r="Q32" s="58"/>
      <c r="R32" s="58"/>
      <c r="S32" s="57"/>
      <c r="T32" s="57"/>
      <c r="U32" s="57"/>
    </row>
    <row r="33" spans="2:21" s="51" customFormat="1" ht="15.95" hidden="1" customHeight="1" x14ac:dyDescent="0.2">
      <c r="B33" s="851"/>
      <c r="C33" s="846"/>
      <c r="D33" s="846"/>
      <c r="E33" s="846"/>
      <c r="F33" s="846"/>
      <c r="G33" s="846"/>
      <c r="H33" s="847"/>
      <c r="I33" s="855"/>
      <c r="K33" s="229" t="b">
        <f t="shared" si="0"/>
        <v>0</v>
      </c>
      <c r="M33" s="861" t="b">
        <f ca="1">IF(AND(B33&lt;&gt;"",B33&lt;=Daten!$O$5,OR(B34="",B34&gt;Daten!$O$5)),TRUE,FALSE)</f>
        <v>0</v>
      </c>
      <c r="N33" s="58"/>
      <c r="O33" s="58"/>
      <c r="P33" s="58"/>
      <c r="Q33" s="58"/>
      <c r="R33" s="58"/>
      <c r="S33" s="57"/>
      <c r="T33" s="57"/>
      <c r="U33" s="57"/>
    </row>
    <row r="34" spans="2:21" s="51" customFormat="1" ht="15.95" hidden="1" customHeight="1" x14ac:dyDescent="0.2">
      <c r="B34" s="851"/>
      <c r="C34" s="846"/>
      <c r="D34" s="846"/>
      <c r="E34" s="846"/>
      <c r="F34" s="846"/>
      <c r="G34" s="846"/>
      <c r="H34" s="847"/>
      <c r="I34" s="855"/>
      <c r="K34" s="229" t="b">
        <f t="shared" si="0"/>
        <v>0</v>
      </c>
      <c r="M34" s="861" t="b">
        <f ca="1">IF(AND(B34&lt;&gt;"",B34&lt;=Daten!$O$5,OR(B35="",B35&gt;Daten!$O$5)),TRUE,FALSE)</f>
        <v>0</v>
      </c>
      <c r="N34" s="58"/>
      <c r="O34" s="58"/>
      <c r="P34" s="58"/>
      <c r="Q34" s="58"/>
      <c r="R34" s="58"/>
      <c r="S34" s="57"/>
      <c r="T34" s="57"/>
      <c r="U34" s="57"/>
    </row>
    <row r="35" spans="2:21" s="51" customFormat="1" ht="15.95" hidden="1" customHeight="1" thickBot="1" x14ac:dyDescent="0.25">
      <c r="B35" s="852"/>
      <c r="C35" s="853"/>
      <c r="D35" s="853"/>
      <c r="E35" s="853"/>
      <c r="F35" s="853"/>
      <c r="G35" s="853"/>
      <c r="H35" s="854"/>
      <c r="I35" s="856"/>
      <c r="K35" s="229" t="b">
        <f t="shared" si="0"/>
        <v>0</v>
      </c>
      <c r="M35" s="861" t="b">
        <f ca="1">IF(AND(B35&lt;&gt;"",B35&lt;=Daten!$O$5,OR(B36="",B36&gt;Daten!$O$5)),TRUE,FALSE)</f>
        <v>0</v>
      </c>
      <c r="N35" s="58"/>
      <c r="O35" s="58"/>
      <c r="P35" s="58"/>
      <c r="Q35" s="58"/>
      <c r="R35" s="58"/>
      <c r="S35" s="57"/>
      <c r="T35" s="57"/>
      <c r="U35" s="57"/>
    </row>
    <row r="36" spans="2:21" s="47" customFormat="1" ht="15.95" customHeight="1" x14ac:dyDescent="0.2">
      <c r="B36" s="66"/>
      <c r="C36" s="844"/>
      <c r="D36" s="844"/>
      <c r="E36" s="845"/>
      <c r="F36" s="845"/>
      <c r="G36" s="845"/>
      <c r="H36" s="845"/>
      <c r="I36" s="845"/>
      <c r="K36" s="228" t="b">
        <v>1</v>
      </c>
      <c r="M36" s="56"/>
      <c r="N36" s="56"/>
      <c r="O36" s="56"/>
      <c r="P36" s="56"/>
      <c r="Q36" s="56"/>
      <c r="R36" s="56"/>
      <c r="S36" s="55"/>
      <c r="T36" s="55"/>
      <c r="U36" s="55"/>
    </row>
    <row r="37" spans="2:21" ht="15.95" customHeight="1" thickBot="1" x14ac:dyDescent="0.25">
      <c r="K37" s="228" t="b">
        <v>1</v>
      </c>
    </row>
    <row r="38" spans="2:21" ht="50.1" customHeight="1" thickTop="1" x14ac:dyDescent="0.2">
      <c r="C38" s="1264" t="str">
        <f>"Richtlinienkennzahlen / Grunddaten"</f>
        <v>Richtlinienkennzahlen / Grunddaten</v>
      </c>
      <c r="D38" s="1265"/>
      <c r="E38" s="1265"/>
      <c r="F38" s="1265"/>
      <c r="G38" s="1265"/>
      <c r="H38" s="1266"/>
      <c r="I38" s="46"/>
      <c r="K38" s="228" t="b">
        <v>1</v>
      </c>
      <c r="M38" s="1261" t="s">
        <v>158</v>
      </c>
      <c r="N38" s="1261"/>
      <c r="O38" s="1261"/>
      <c r="P38" s="1261"/>
      <c r="Q38" s="1261"/>
      <c r="R38" s="1261"/>
      <c r="S38" s="1261"/>
      <c r="T38" s="1262"/>
      <c r="U38" s="1262"/>
    </row>
    <row r="39" spans="2:21" ht="15.95" customHeight="1" x14ac:dyDescent="0.2">
      <c r="B39" s="32"/>
      <c r="C39" s="278" t="str">
        <f>IF(Daten!$L$16=FALSE,"Förderhöhen","Förderhöhen (Maßnahme)")</f>
        <v>Förderhöhen</v>
      </c>
      <c r="D39" s="561"/>
      <c r="E39" s="561"/>
      <c r="F39" s="561"/>
      <c r="G39" s="561"/>
      <c r="H39" s="562"/>
      <c r="I39" s="46"/>
      <c r="K39" s="228" t="b">
        <v>1</v>
      </c>
      <c r="M39" s="451" t="s">
        <v>551</v>
      </c>
      <c r="N39" s="452"/>
      <c r="O39" s="452"/>
      <c r="P39" s="452"/>
      <c r="Q39" s="453" t="s">
        <v>422</v>
      </c>
      <c r="R39" s="453" t="s">
        <v>420</v>
      </c>
      <c r="S39" s="453" t="s">
        <v>419</v>
      </c>
      <c r="T39" s="453" t="s">
        <v>433</v>
      </c>
      <c r="U39" s="453" t="s">
        <v>421</v>
      </c>
    </row>
    <row r="40" spans="2:21" ht="15.95" customHeight="1" x14ac:dyDescent="0.2">
      <c r="B40" s="32"/>
      <c r="C40" s="630" t="str">
        <f>"Darlehenskappung bei Überschreitung der Höchstförderung (bei Nutzung "&amp;CHAR(34)&amp;IF(Daten!$L$16=TRUE,"Klimabaustein","Verlängerung Bindung")&amp;CHAR(34)&amp;")"</f>
        <v>Darlehenskappung bei Überschreitung der Höchstförderung (bei Nutzung "Verlängerung Bindung")</v>
      </c>
      <c r="D40" s="716"/>
      <c r="E40" s="716"/>
      <c r="F40" s="716"/>
      <c r="G40" s="716"/>
      <c r="H40" s="1057" t="b">
        <f t="shared" ref="H40:H48" si="1">R40</f>
        <v>1</v>
      </c>
      <c r="I40" s="46"/>
      <c r="K40" s="421" t="b">
        <f>IF(OR(Daten!$L$16=TRUE,Daten!$L$17=TRUE),TRUE,FALSE)</f>
        <v>1</v>
      </c>
      <c r="M40" s="718" t="str">
        <f>C40</f>
        <v>Darlehenskappung bei Überschreitung der Höchstförderung (bei Nutzung "Verlängerung Bindung")</v>
      </c>
      <c r="N40" s="717"/>
      <c r="O40" s="717"/>
      <c r="P40" s="717"/>
      <c r="Q40" s="460" t="b">
        <v>1</v>
      </c>
      <c r="R40" s="917" t="b">
        <f>IF(AND(Daten!$L$16=TRUE,OR(Daten!$M$3=TRUE,Daten!$M$79=TRUE)),FALSE,TRUE)</f>
        <v>1</v>
      </c>
      <c r="S40" s="457">
        <f>IF(AND(Q40=TRUE,H40&lt;&gt;R40),1,0)</f>
        <v>0</v>
      </c>
      <c r="T40" s="458" t="b">
        <f>IF(AND(Daten!$M$75=TRUE,S40&gt;0,Daten!$D$56&gt;R40),TRUE,FALSE)</f>
        <v>0</v>
      </c>
      <c r="U40" s="458" t="b">
        <v>1</v>
      </c>
    </row>
    <row r="41" spans="2:21" ht="15.95" customHeight="1" x14ac:dyDescent="0.2">
      <c r="B41" s="32"/>
      <c r="C41" s="277" t="s">
        <v>786</v>
      </c>
      <c r="D41" s="563"/>
      <c r="E41" s="563"/>
      <c r="F41" s="563"/>
      <c r="G41" s="564"/>
      <c r="H41" s="782">
        <f t="shared" si="1"/>
        <v>3000</v>
      </c>
      <c r="I41" s="273" t="str">
        <f>IF(S41=1,"i","")</f>
        <v/>
      </c>
      <c r="K41" s="228" t="b">
        <v>1</v>
      </c>
      <c r="M41" s="454" t="s">
        <v>35</v>
      </c>
      <c r="N41" s="455"/>
      <c r="O41" s="455"/>
      <c r="P41" s="455"/>
      <c r="Q41" s="456" t="b">
        <f>IF(OR(Daten!M75=TRUE,Daten!M77=TRUE),TRUE,FALSE)</f>
        <v>1</v>
      </c>
      <c r="R41" s="917">
        <f>Daten!$O$55</f>
        <v>3000</v>
      </c>
      <c r="S41" s="457">
        <f>IF(AND(Q41=TRUE,H41&lt;&gt;R41),1,0)</f>
        <v>0</v>
      </c>
      <c r="T41" s="458" t="b">
        <f>IF(AND(Daten!$M$75=TRUE,S41&gt;0,Daten!$D$56&gt;R41),TRUE,FALSE)</f>
        <v>0</v>
      </c>
      <c r="U41" s="458" t="b">
        <v>0</v>
      </c>
    </row>
    <row r="42" spans="2:21" ht="15.95" customHeight="1" x14ac:dyDescent="0.2">
      <c r="B42" s="32"/>
      <c r="C42" s="277" t="s">
        <v>785</v>
      </c>
      <c r="D42" s="563"/>
      <c r="E42" s="563"/>
      <c r="F42" s="563"/>
      <c r="G42" s="564"/>
      <c r="H42" s="782">
        <f t="shared" si="1"/>
        <v>3000</v>
      </c>
      <c r="I42" s="273" t="str">
        <f t="shared" ref="I42:I48" si="2">IF(S42=1,"i","")</f>
        <v/>
      </c>
      <c r="K42" s="228" t="b">
        <v>1</v>
      </c>
      <c r="M42" s="454" t="s">
        <v>36</v>
      </c>
      <c r="N42" s="455"/>
      <c r="O42" s="455"/>
      <c r="P42" s="455"/>
      <c r="Q42" s="456" t="b">
        <f>IF(OR(Daten!M76=TRUE,Daten!M78=TRUE),TRUE,FALSE)</f>
        <v>0</v>
      </c>
      <c r="R42" s="917">
        <f>Daten!$O$57</f>
        <v>3000</v>
      </c>
      <c r="S42" s="457">
        <f>IF(AND(Q42=TRUE,H42&lt;&gt;R42),1,0)</f>
        <v>0</v>
      </c>
      <c r="T42" s="458" t="b">
        <f>IF(AND(Daten!$M$76=TRUE,S42&gt;0,Daten!$D$56&gt;R42),TRUE,FALSE)</f>
        <v>0</v>
      </c>
      <c r="U42" s="458" t="b">
        <v>0</v>
      </c>
    </row>
    <row r="43" spans="2:21" ht="15.95" customHeight="1" x14ac:dyDescent="0.2">
      <c r="B43" s="32"/>
      <c r="C43" s="277" t="s">
        <v>784</v>
      </c>
      <c r="D43" s="563"/>
      <c r="E43" s="563"/>
      <c r="F43" s="563"/>
      <c r="G43" s="564"/>
      <c r="H43" s="782">
        <f t="shared" si="1"/>
        <v>2000</v>
      </c>
      <c r="I43" s="273" t="str">
        <f>IF(S43=1,"i","")</f>
        <v/>
      </c>
      <c r="K43" s="228" t="b">
        <v>1</v>
      </c>
      <c r="M43" s="454" t="s">
        <v>34</v>
      </c>
      <c r="N43" s="455"/>
      <c r="O43" s="455"/>
      <c r="P43" s="455"/>
      <c r="Q43" s="456" t="b">
        <f>IF(Daten!M79=TRUE,TRUE,FALSE)</f>
        <v>0</v>
      </c>
      <c r="R43" s="917">
        <f>Daten!$O$59</f>
        <v>2000</v>
      </c>
      <c r="S43" s="457">
        <f t="shared" ref="S43:S48" si="3">IF(AND(Q43=TRUE,H43&lt;&gt;R43),1,0)</f>
        <v>0</v>
      </c>
      <c r="T43" s="458" t="b">
        <f>IF(AND(Daten!$M$79=TRUE,S43&gt;0,Daten!$D$56&gt;R43),TRUE,FALSE)</f>
        <v>0</v>
      </c>
      <c r="U43" s="458" t="b">
        <v>0</v>
      </c>
    </row>
    <row r="44" spans="2:21" ht="15.95" customHeight="1" x14ac:dyDescent="0.2">
      <c r="B44" s="32"/>
      <c r="C44" s="277" t="str">
        <f>IF(Daten!$L$16=TRUE,"Höchstförderung Zuschuss + Darlehen Aufzug","Höchstförderung Darlehen - Aufzug (nur informativ)")</f>
        <v>Höchstförderung Darlehen - Aufzug (nur informativ)</v>
      </c>
      <c r="D44" s="563"/>
      <c r="E44" s="563"/>
      <c r="F44" s="563"/>
      <c r="G44" s="564"/>
      <c r="H44" s="782">
        <f t="shared" si="1"/>
        <v>25000</v>
      </c>
      <c r="I44" s="273" t="str">
        <f t="shared" si="2"/>
        <v/>
      </c>
      <c r="K44" s="421" t="b">
        <f>NOT(Daten!$L$16)</f>
        <v>1</v>
      </c>
      <c r="M44" s="454" t="str">
        <f>IF(Daten!$L$16=TRUE,"Höchstförderung Zuschuss + Darlehen Aufzug","Höchstförderung Darlehen Aufzug (nur informativ)")</f>
        <v>Höchstförderung Darlehen Aufzug (nur informativ)</v>
      </c>
      <c r="N44" s="455"/>
      <c r="O44" s="455"/>
      <c r="P44" s="455"/>
      <c r="Q44" s="456" t="b">
        <f>IF(Daten!L16=FALSE,TRUE,FALSE)</f>
        <v>1</v>
      </c>
      <c r="R44" s="918">
        <v>25000</v>
      </c>
      <c r="S44" s="457">
        <f t="shared" si="3"/>
        <v>0</v>
      </c>
      <c r="T44" s="458" t="b">
        <f>IF(AND(Daten!$L$16=FALSE,S44&gt;0),TRUE,FALSE)</f>
        <v>0</v>
      </c>
      <c r="U44" s="458" t="b">
        <v>0</v>
      </c>
    </row>
    <row r="45" spans="2:21" ht="15.95" customHeight="1" x14ac:dyDescent="0.2">
      <c r="B45" s="32"/>
      <c r="C45" s="277" t="s">
        <v>777</v>
      </c>
      <c r="D45" s="907"/>
      <c r="E45" s="907"/>
      <c r="F45" s="907"/>
      <c r="G45" s="908"/>
      <c r="H45" s="782">
        <f t="shared" si="1"/>
        <v>500</v>
      </c>
      <c r="I45" s="273"/>
      <c r="K45" s="916" t="b">
        <f>Daten!$L$17</f>
        <v>1</v>
      </c>
      <c r="M45" s="909" t="str">
        <f>C45</f>
        <v>Höchstförderung Zuschuss - Grundförderung (Neubau / Umnutzung)</v>
      </c>
      <c r="N45" s="903"/>
      <c r="O45" s="903"/>
      <c r="P45" s="903"/>
      <c r="Q45" s="915" t="b">
        <f>IF(Daten!$L$17=TRUE,TRUE,FALSE)</f>
        <v>1</v>
      </c>
      <c r="R45" s="924">
        <f>Daten!D134</f>
        <v>500</v>
      </c>
      <c r="S45" s="457">
        <f>IF(AND(Q45=TRUE,H45&lt;&gt;R45),1,0)</f>
        <v>0</v>
      </c>
      <c r="T45" s="458" t="b">
        <f>IF(S45&gt;0,TRUE,FALSE)</f>
        <v>0</v>
      </c>
      <c r="U45" s="904" t="b">
        <v>0</v>
      </c>
    </row>
    <row r="46" spans="2:21" ht="15.95" customHeight="1" x14ac:dyDescent="0.2">
      <c r="B46" s="32"/>
      <c r="C46" s="277" t="s">
        <v>776</v>
      </c>
      <c r="D46" s="907"/>
      <c r="E46" s="907"/>
      <c r="F46" s="907"/>
      <c r="G46" s="908"/>
      <c r="H46" s="782">
        <f t="shared" si="1"/>
        <v>300</v>
      </c>
      <c r="I46" s="273"/>
      <c r="K46" s="916" t="b">
        <f>Daten!$L$17</f>
        <v>1</v>
      </c>
      <c r="M46" s="909" t="str">
        <f>C46</f>
        <v>Höchstförderung Zuschuss - Grundförderung (ModInst)</v>
      </c>
      <c r="N46" s="903"/>
      <c r="O46" s="903"/>
      <c r="P46" s="903"/>
      <c r="Q46" s="915" t="b">
        <f>IF(Daten!$L$17=TRUE,TRUE,FALSE)</f>
        <v>1</v>
      </c>
      <c r="R46" s="924">
        <f>Daten!D135</f>
        <v>300</v>
      </c>
      <c r="S46" s="457">
        <f>IF(AND(Q46=TRUE,H46&lt;&gt;R46),1,0)</f>
        <v>0</v>
      </c>
      <c r="T46" s="458" t="b">
        <f>IF(S46&gt;0,TRUE,FALSE)</f>
        <v>0</v>
      </c>
      <c r="U46" s="904" t="b">
        <v>0</v>
      </c>
    </row>
    <row r="47" spans="2:21" ht="15.95" customHeight="1" x14ac:dyDescent="0.2">
      <c r="B47" s="32"/>
      <c r="C47" s="277" t="s">
        <v>765</v>
      </c>
      <c r="D47" s="563"/>
      <c r="E47" s="563"/>
      <c r="F47" s="563"/>
      <c r="G47" s="564"/>
      <c r="H47" s="782">
        <f t="shared" si="1"/>
        <v>200</v>
      </c>
      <c r="I47" s="273" t="str">
        <f t="shared" si="2"/>
        <v/>
      </c>
      <c r="K47" s="228" t="b">
        <v>1</v>
      </c>
      <c r="M47" s="454" t="s">
        <v>326</v>
      </c>
      <c r="N47" s="455"/>
      <c r="O47" s="455"/>
      <c r="P47" s="455"/>
      <c r="Q47" s="456" t="b">
        <f>Q42</f>
        <v>0</v>
      </c>
      <c r="R47" s="917">
        <f>Daten!$O$61</f>
        <v>200</v>
      </c>
      <c r="S47" s="457">
        <f t="shared" si="3"/>
        <v>0</v>
      </c>
      <c r="T47" s="458" t="b">
        <f>IF(AND(OR(Daten!$M$76=TRUE,Daten!$M$78=TRUE,Daten!$M$80=TRUE),S47&gt;0,Daten!$G$74&gt;R47),TRUE,FALSE)</f>
        <v>0</v>
      </c>
      <c r="U47" s="458" t="b">
        <v>0</v>
      </c>
    </row>
    <row r="48" spans="2:21" ht="15.95" customHeight="1" x14ac:dyDescent="0.2">
      <c r="B48" s="32"/>
      <c r="C48" s="277" t="s">
        <v>157</v>
      </c>
      <c r="D48" s="563"/>
      <c r="E48" s="563"/>
      <c r="F48" s="563"/>
      <c r="G48" s="564"/>
      <c r="H48" s="782">
        <f t="shared" si="1"/>
        <v>120</v>
      </c>
      <c r="I48" s="273" t="str">
        <f t="shared" si="2"/>
        <v/>
      </c>
      <c r="K48" s="228" t="b">
        <v>1</v>
      </c>
      <c r="M48" s="454" t="s">
        <v>157</v>
      </c>
      <c r="N48" s="455"/>
      <c r="O48" s="455"/>
      <c r="P48" s="455"/>
      <c r="Q48" s="456" t="b">
        <f>IF(OR(Q41=TRUE,Q42=TRUE),TRUE,FALSE)</f>
        <v>1</v>
      </c>
      <c r="R48" s="917">
        <v>120</v>
      </c>
      <c r="S48" s="457">
        <f t="shared" si="3"/>
        <v>0</v>
      </c>
      <c r="T48" s="458" t="b">
        <f>IF(OR(Daten!$M$79=TRUE,Daten!$M$81=TRUE),FALSE,IF(S48&gt;0,TRUE,FALSE))</f>
        <v>0</v>
      </c>
      <c r="U48" s="458" t="b">
        <v>0</v>
      </c>
    </row>
    <row r="49" spans="2:21" ht="15.95" hidden="1" customHeight="1" x14ac:dyDescent="0.2">
      <c r="B49" s="32"/>
      <c r="C49" s="278" t="s">
        <v>435</v>
      </c>
      <c r="D49" s="561"/>
      <c r="E49" s="561"/>
      <c r="F49" s="561"/>
      <c r="G49" s="561"/>
      <c r="H49" s="562"/>
      <c r="I49" s="273"/>
      <c r="K49" s="229" t="b">
        <f>IF(Daten!$L$16=TRUE,TRUE,FALSE)</f>
        <v>0</v>
      </c>
      <c r="M49" s="451" t="str">
        <f>C49</f>
        <v>Förderhöhen (Aufzug)</v>
      </c>
      <c r="N49" s="452"/>
      <c r="O49" s="452"/>
      <c r="P49" s="452"/>
      <c r="Q49" s="452"/>
      <c r="R49" s="452"/>
      <c r="S49" s="459"/>
      <c r="T49" s="453"/>
      <c r="U49" s="453"/>
    </row>
    <row r="50" spans="2:21" ht="15.95" hidden="1" customHeight="1" x14ac:dyDescent="0.2">
      <c r="B50" s="32"/>
      <c r="C50" s="277" t="s">
        <v>255</v>
      </c>
      <c r="D50" s="563"/>
      <c r="E50" s="563"/>
      <c r="F50" s="563"/>
      <c r="G50" s="563"/>
      <c r="H50" s="783">
        <f>R50</f>
        <v>5000</v>
      </c>
      <c r="I50" s="273" t="str">
        <f>IF(S50=1,"i","")</f>
        <v/>
      </c>
      <c r="K50" s="229" t="b">
        <f>K49</f>
        <v>0</v>
      </c>
      <c r="M50" s="454" t="s">
        <v>227</v>
      </c>
      <c r="N50" s="455"/>
      <c r="O50" s="455"/>
      <c r="P50" s="455"/>
      <c r="Q50" s="456" t="b">
        <f>IF(AND(OR(Daten!$L$16=TRUE,Daten!$L$17=TRUE),Daten!$H$77=TRUE),TRUE,FALSE)</f>
        <v>0</v>
      </c>
      <c r="R50" s="919">
        <v>5000</v>
      </c>
      <c r="S50" s="457">
        <f>IF(AND(Q50=TRUE,H50&lt;&gt;R50),1,0)</f>
        <v>0</v>
      </c>
      <c r="T50" s="458" t="b">
        <f>IF(AND(Daten!$H$77=TRUE,Daten!$H$98&gt;0,S50&gt;0,H50&gt;R50),TRUE,FALSE)</f>
        <v>0</v>
      </c>
      <c r="U50" s="458" t="b">
        <v>0</v>
      </c>
    </row>
    <row r="51" spans="2:21" ht="15.95" hidden="1" customHeight="1" x14ac:dyDescent="0.2">
      <c r="B51" s="32"/>
      <c r="C51" s="277" t="s">
        <v>256</v>
      </c>
      <c r="D51" s="563"/>
      <c r="E51" s="563"/>
      <c r="F51" s="563"/>
      <c r="G51" s="563"/>
      <c r="H51" s="783">
        <f>R51</f>
        <v>20000</v>
      </c>
      <c r="I51" s="273" t="str">
        <f t="shared" ref="I51:I53" si="4">IF(S51=1,"i","")</f>
        <v/>
      </c>
      <c r="K51" s="229" t="b">
        <f t="shared" ref="K51:K53" si="5">K50</f>
        <v>0</v>
      </c>
      <c r="M51" s="454" t="s">
        <v>228</v>
      </c>
      <c r="N51" s="455"/>
      <c r="O51" s="455"/>
      <c r="P51" s="455"/>
      <c r="Q51" s="456" t="b">
        <f>$Q$50</f>
        <v>0</v>
      </c>
      <c r="R51" s="919">
        <v>20000</v>
      </c>
      <c r="S51" s="457">
        <f>IF(AND(Q51=TRUE,H51&lt;&gt;R51),1,0)</f>
        <v>0</v>
      </c>
      <c r="T51" s="458" t="b">
        <f>IF(AND(Daten!$H$77=TRUE,Daten!$H$98&gt;0,S51&gt;0,H51&gt;R51),TRUE,FALSE)</f>
        <v>0</v>
      </c>
      <c r="U51" s="458" t="b">
        <v>0</v>
      </c>
    </row>
    <row r="52" spans="2:21" ht="15.95" hidden="1" customHeight="1" x14ac:dyDescent="0.2">
      <c r="B52" s="32"/>
      <c r="C52" s="277" t="s">
        <v>253</v>
      </c>
      <c r="D52" s="563"/>
      <c r="E52" s="563"/>
      <c r="F52" s="563"/>
      <c r="G52" s="563"/>
      <c r="H52" s="783">
        <f>R52</f>
        <v>10000</v>
      </c>
      <c r="I52" s="273" t="str">
        <f t="shared" si="4"/>
        <v/>
      </c>
      <c r="K52" s="229" t="b">
        <f t="shared" si="5"/>
        <v>0</v>
      </c>
      <c r="M52" s="454" t="s">
        <v>225</v>
      </c>
      <c r="N52" s="455"/>
      <c r="O52" s="455"/>
      <c r="P52" s="455"/>
      <c r="Q52" s="456" t="b">
        <f>$Q$50</f>
        <v>0</v>
      </c>
      <c r="R52" s="919">
        <v>10000</v>
      </c>
      <c r="S52" s="457">
        <f>IF(AND(Q52=TRUE,H52&lt;&gt;R52),1,0)</f>
        <v>0</v>
      </c>
      <c r="T52" s="458" t="b">
        <f>IF(AND(Daten!$H$77=TRUE,Daten!$H$94&gt;0,S52&gt;0,H52&gt;R52),TRUE,FALSE)</f>
        <v>0</v>
      </c>
      <c r="U52" s="458" t="b">
        <v>0</v>
      </c>
    </row>
    <row r="53" spans="2:21" ht="15.95" hidden="1" customHeight="1" x14ac:dyDescent="0.2">
      <c r="B53" s="32"/>
      <c r="C53" s="277" t="s">
        <v>254</v>
      </c>
      <c r="D53" s="563"/>
      <c r="E53" s="563"/>
      <c r="F53" s="563"/>
      <c r="G53" s="563"/>
      <c r="H53" s="783">
        <f>R53</f>
        <v>15000</v>
      </c>
      <c r="I53" s="273" t="str">
        <f t="shared" si="4"/>
        <v/>
      </c>
      <c r="K53" s="229" t="b">
        <f t="shared" si="5"/>
        <v>0</v>
      </c>
      <c r="M53" s="454" t="s">
        <v>226</v>
      </c>
      <c r="N53" s="455"/>
      <c r="O53" s="455"/>
      <c r="P53" s="455"/>
      <c r="Q53" s="456" t="b">
        <f>$Q$50</f>
        <v>0</v>
      </c>
      <c r="R53" s="919">
        <v>15000</v>
      </c>
      <c r="S53" s="457">
        <f>IF(AND(Q53=TRUE,H53&lt;&gt;R53),1,0)</f>
        <v>0</v>
      </c>
      <c r="T53" s="458" t="b">
        <f>IF(AND(Daten!$H$77=TRUE,Daten!$H$94&gt;0,S53&gt;0,H53&gt;R53),TRUE,FALSE)</f>
        <v>0</v>
      </c>
      <c r="U53" s="458" t="b">
        <v>0</v>
      </c>
    </row>
    <row r="54" spans="2:21" ht="15.95" hidden="1" customHeight="1" x14ac:dyDescent="0.2">
      <c r="B54" s="32"/>
      <c r="C54" s="278" t="s">
        <v>550</v>
      </c>
      <c r="D54" s="561"/>
      <c r="E54" s="561"/>
      <c r="F54" s="561"/>
      <c r="G54" s="561"/>
      <c r="H54" s="562"/>
      <c r="I54" s="273"/>
      <c r="K54" s="632" t="b">
        <f>IF(Daten!$L$16=TRUE,TRUE,FALSE)</f>
        <v>0</v>
      </c>
      <c r="M54" s="451" t="str">
        <f>C54</f>
        <v>Förderhöhen (Klimabaustein)</v>
      </c>
      <c r="N54" s="452"/>
      <c r="O54" s="452"/>
      <c r="P54" s="452"/>
      <c r="Q54" s="452"/>
      <c r="R54" s="452"/>
      <c r="S54" s="459"/>
      <c r="T54" s="453"/>
      <c r="U54" s="453"/>
    </row>
    <row r="55" spans="2:21" ht="15.95" hidden="1" customHeight="1" x14ac:dyDescent="0.2">
      <c r="B55" s="32"/>
      <c r="C55" s="630" t="s">
        <v>552</v>
      </c>
      <c r="D55" s="631"/>
      <c r="E55" s="631"/>
      <c r="F55" s="631"/>
      <c r="G55" s="631"/>
      <c r="H55" s="784">
        <f>R55</f>
        <v>300</v>
      </c>
      <c r="I55" s="273" t="str">
        <f>IF(S55=1,"i","")</f>
        <v/>
      </c>
      <c r="K55" s="632" t="b">
        <f>K54</f>
        <v>0</v>
      </c>
      <c r="M55" s="633" t="str">
        <f>C55</f>
        <v>Zuschuss pro m² für Wohnfläche mit erreichten Standard</v>
      </c>
      <c r="N55" s="634"/>
      <c r="O55" s="634"/>
      <c r="P55" s="634"/>
      <c r="Q55" s="636" t="b">
        <f>IF(Daten!$L$16=TRUE,TRUE,FALSE)</f>
        <v>0</v>
      </c>
      <c r="R55" s="920">
        <v>300</v>
      </c>
      <c r="S55" s="457">
        <f>IF(AND(Q55=TRUE,H55&lt;&gt;R55),1,0)</f>
        <v>0</v>
      </c>
      <c r="T55" s="458" t="b">
        <f>IF(S55&gt;0,TRUE,FALSE)</f>
        <v>0</v>
      </c>
      <c r="U55" s="635" t="b">
        <v>0</v>
      </c>
    </row>
    <row r="56" spans="2:21" ht="15.95" customHeight="1" x14ac:dyDescent="0.2">
      <c r="B56" s="32"/>
      <c r="C56" s="278" t="s">
        <v>70</v>
      </c>
      <c r="D56" s="561"/>
      <c r="E56" s="561"/>
      <c r="F56" s="561"/>
      <c r="G56" s="561"/>
      <c r="H56" s="562"/>
      <c r="I56" s="46"/>
      <c r="K56" s="228" t="b">
        <v>1</v>
      </c>
      <c r="M56" s="451" t="s">
        <v>70</v>
      </c>
      <c r="N56" s="452"/>
      <c r="O56" s="452"/>
      <c r="P56" s="452"/>
      <c r="Q56" s="452"/>
      <c r="R56" s="452"/>
      <c r="S56" s="459"/>
      <c r="T56" s="453"/>
      <c r="U56" s="453"/>
    </row>
    <row r="57" spans="2:21" ht="15.95" customHeight="1" x14ac:dyDescent="0.2">
      <c r="B57" s="32"/>
      <c r="C57" s="277" t="s">
        <v>72</v>
      </c>
      <c r="D57" s="563"/>
      <c r="E57" s="563"/>
      <c r="F57" s="563"/>
      <c r="G57" s="564"/>
      <c r="H57" s="1058">
        <f>R57</f>
        <v>0.5</v>
      </c>
      <c r="I57" s="273" t="str">
        <f>IF(S57=1,"i","")</f>
        <v/>
      </c>
      <c r="K57" s="228" t="b">
        <v>1</v>
      </c>
      <c r="M57" s="454" t="s">
        <v>72</v>
      </c>
      <c r="N57" s="455"/>
      <c r="O57" s="455"/>
      <c r="P57" s="455"/>
      <c r="Q57" s="460" t="b">
        <v>1</v>
      </c>
      <c r="R57" s="921">
        <v>0.5</v>
      </c>
      <c r="S57" s="457">
        <f>IF(AND(Q57=TRUE,H57&lt;&gt;R57),1,0)</f>
        <v>0</v>
      </c>
      <c r="T57" s="458" t="b">
        <f>IF(S57&gt;0,TRUE,FALSE)</f>
        <v>0</v>
      </c>
      <c r="U57" s="458" t="b">
        <v>1</v>
      </c>
    </row>
    <row r="58" spans="2:21" ht="15.95" customHeight="1" x14ac:dyDescent="0.2">
      <c r="B58" s="32"/>
      <c r="C58" s="277" t="s">
        <v>841</v>
      </c>
      <c r="D58" s="563"/>
      <c r="E58" s="563"/>
      <c r="F58" s="563"/>
      <c r="G58" s="564"/>
      <c r="H58" s="1058">
        <f>R58</f>
        <v>2</v>
      </c>
      <c r="I58" s="273" t="str">
        <f>IF(S58=1,"i","")</f>
        <v/>
      </c>
      <c r="K58" s="228" t="b">
        <v>1</v>
      </c>
      <c r="M58" s="454" t="s">
        <v>71</v>
      </c>
      <c r="N58" s="455"/>
      <c r="O58" s="455"/>
      <c r="P58" s="455"/>
      <c r="Q58" s="460" t="b">
        <v>1</v>
      </c>
      <c r="R58" s="921">
        <v>2</v>
      </c>
      <c r="S58" s="457">
        <f>IF(AND(Q58=TRUE,H58&lt;&gt;R58),1,0)</f>
        <v>0</v>
      </c>
      <c r="T58" s="458" t="b">
        <f>IF(AND(S58&gt;0,Berechnung!S59&lt;R58),TRUE,FALSE)</f>
        <v>0</v>
      </c>
      <c r="U58" s="458" t="b">
        <v>1</v>
      </c>
    </row>
    <row r="59" spans="2:21" ht="15.95" customHeight="1" x14ac:dyDescent="0.2">
      <c r="B59" s="32"/>
      <c r="C59" s="630" t="s">
        <v>814</v>
      </c>
      <c r="D59" s="907"/>
      <c r="E59" s="907"/>
      <c r="F59" s="907"/>
      <c r="G59" s="907"/>
      <c r="H59" s="1059">
        <f>R59</f>
        <v>5</v>
      </c>
      <c r="I59" s="273"/>
      <c r="K59" s="228" t="b">
        <v>1</v>
      </c>
      <c r="M59" s="909" t="s">
        <v>814</v>
      </c>
      <c r="N59" s="903"/>
      <c r="O59" s="903"/>
      <c r="P59" s="903"/>
      <c r="Q59" s="460" t="b">
        <v>1</v>
      </c>
      <c r="R59" s="921">
        <v>5</v>
      </c>
      <c r="S59" s="457">
        <f>IF(AND(Q59=TRUE,H59&lt;&gt;R59),1,0)</f>
        <v>0</v>
      </c>
      <c r="T59" s="458" t="b">
        <f>IF(AND(S59&gt;0,Berechnung!S60&lt;R59),TRUE,FALSE)</f>
        <v>0</v>
      </c>
      <c r="U59" s="458" t="b">
        <v>1</v>
      </c>
    </row>
    <row r="60" spans="2:21" ht="15.95" customHeight="1" x14ac:dyDescent="0.2">
      <c r="B60" s="32"/>
      <c r="C60" s="278" t="s">
        <v>17</v>
      </c>
      <c r="D60" s="561"/>
      <c r="E60" s="561"/>
      <c r="F60" s="561"/>
      <c r="G60" s="561"/>
      <c r="H60" s="562"/>
      <c r="I60" s="46"/>
      <c r="K60" s="228" t="b">
        <v>1</v>
      </c>
      <c r="M60" s="451" t="s">
        <v>17</v>
      </c>
      <c r="N60" s="452"/>
      <c r="O60" s="452"/>
      <c r="P60" s="452"/>
      <c r="Q60" s="452"/>
      <c r="R60" s="452"/>
      <c r="S60" s="459"/>
      <c r="T60" s="453"/>
      <c r="U60" s="453"/>
    </row>
    <row r="61" spans="2:21" ht="15.95" customHeight="1" x14ac:dyDescent="0.2">
      <c r="B61" s="32"/>
      <c r="C61" s="277" t="s">
        <v>242</v>
      </c>
      <c r="D61" s="563"/>
      <c r="E61" s="563"/>
      <c r="F61" s="563"/>
      <c r="G61" s="564"/>
      <c r="H61" s="1058">
        <f>R61</f>
        <v>20</v>
      </c>
      <c r="I61" s="273" t="str">
        <f>IF(S61=1,"i","")</f>
        <v/>
      </c>
      <c r="K61" s="228" t="b">
        <v>1</v>
      </c>
      <c r="M61" s="454" t="str">
        <f>C61</f>
        <v>Mindesteigenleistungen Neubau / Umnutzung</v>
      </c>
      <c r="N61" s="455"/>
      <c r="O61" s="455"/>
      <c r="P61" s="455"/>
      <c r="Q61" s="456" t="b">
        <f>IF(OR(Q41=TRUE,Q42=TRUE),TRUE,FALSE)</f>
        <v>1</v>
      </c>
      <c r="R61" s="921">
        <v>20</v>
      </c>
      <c r="S61" s="457">
        <f>IF(AND(Q61=TRUE,H61&lt;&gt;R61),1,0)</f>
        <v>0</v>
      </c>
      <c r="T61" s="458" t="b">
        <f>IF(AND(OR(Q41=TRUE,Q42=TRUE),S61&gt;0,Berechnung!T44&lt;R61),TRUE,FALSE)</f>
        <v>0</v>
      </c>
      <c r="U61" s="458" t="b">
        <v>1</v>
      </c>
    </row>
    <row r="62" spans="2:21" ht="15.95" customHeight="1" x14ac:dyDescent="0.2">
      <c r="B62" s="32"/>
      <c r="C62" s="277" t="s">
        <v>243</v>
      </c>
      <c r="D62" s="563"/>
      <c r="E62" s="563"/>
      <c r="F62" s="563"/>
      <c r="G62" s="564"/>
      <c r="H62" s="1058">
        <f>R62</f>
        <v>15</v>
      </c>
      <c r="I62" s="273" t="str">
        <f>IF(S62=1,"i","")</f>
        <v/>
      </c>
      <c r="K62" s="228" t="b">
        <v>1</v>
      </c>
      <c r="M62" s="454" t="str">
        <f t="shared" ref="M62:M63" si="6">C62</f>
        <v>Mindesteigenleistungen Mod / Inst</v>
      </c>
      <c r="N62" s="455"/>
      <c r="O62" s="455"/>
      <c r="P62" s="455"/>
      <c r="Q62" s="456" t="b">
        <f>$Q$43</f>
        <v>0</v>
      </c>
      <c r="R62" s="921">
        <v>15</v>
      </c>
      <c r="S62" s="457">
        <f>IF(AND(Q62=TRUE,H62&lt;&gt;R62),1,0)</f>
        <v>0</v>
      </c>
      <c r="T62" s="458" t="b">
        <f>IF(AND(Daten!$M$79=TRUE,S62&gt;0),TRUE,FALSE)</f>
        <v>0</v>
      </c>
      <c r="U62" s="458" t="b">
        <v>1</v>
      </c>
    </row>
    <row r="63" spans="2:21" ht="15.95" customHeight="1" x14ac:dyDescent="0.2">
      <c r="B63" s="32"/>
      <c r="C63" s="277" t="s">
        <v>241</v>
      </c>
      <c r="D63" s="563"/>
      <c r="E63" s="563"/>
      <c r="F63" s="563"/>
      <c r="G63" s="564"/>
      <c r="H63" s="1058">
        <f>R63</f>
        <v>15</v>
      </c>
      <c r="I63" s="273" t="str">
        <f>IF(S63=1,"i","")</f>
        <v/>
      </c>
      <c r="K63" s="421" t="b">
        <f>IF(OR(Daten!$L$16=TRUE,Daten!$L$17=TRUE),TRUE,FALSE)</f>
        <v>1</v>
      </c>
      <c r="M63" s="454" t="str">
        <f t="shared" si="6"/>
        <v>Mindesteigenleistungen Solo-Aufzug</v>
      </c>
      <c r="N63" s="455"/>
      <c r="O63" s="455"/>
      <c r="P63" s="455"/>
      <c r="Q63" s="456" t="b">
        <f>$Q$50</f>
        <v>0</v>
      </c>
      <c r="R63" s="922">
        <v>15</v>
      </c>
      <c r="S63" s="457">
        <f t="shared" ref="S63:S79" si="7">IF(AND(Q63=TRUE,H63&lt;&gt;R63),1,0)</f>
        <v>0</v>
      </c>
      <c r="T63" s="458" t="b">
        <f>IF(AND(Daten!$M$81=TRUE,S63&gt;0),TRUE,FALSE)</f>
        <v>0</v>
      </c>
      <c r="U63" s="458" t="b">
        <v>1</v>
      </c>
    </row>
    <row r="64" spans="2:21" ht="15.95" customHeight="1" x14ac:dyDescent="0.2">
      <c r="B64" s="32"/>
      <c r="C64" s="278" t="s">
        <v>39</v>
      </c>
      <c r="D64" s="561"/>
      <c r="E64" s="561"/>
      <c r="F64" s="561"/>
      <c r="G64" s="561"/>
      <c r="H64" s="562"/>
      <c r="I64" s="46"/>
      <c r="K64" s="228" t="b">
        <v>1</v>
      </c>
      <c r="M64" s="451" t="str">
        <f>C64</f>
        <v>Bindungsquoten</v>
      </c>
      <c r="N64" s="452"/>
      <c r="O64" s="452"/>
      <c r="P64" s="452"/>
      <c r="Q64" s="452"/>
      <c r="R64" s="452"/>
      <c r="S64" s="459"/>
      <c r="T64" s="453"/>
      <c r="U64" s="453"/>
    </row>
    <row r="65" spans="2:21" ht="15.95" customHeight="1" x14ac:dyDescent="0.2">
      <c r="B65" s="32"/>
      <c r="C65" s="1278" t="s">
        <v>69</v>
      </c>
      <c r="D65" s="1279"/>
      <c r="E65" s="565" t="s">
        <v>237</v>
      </c>
      <c r="F65" s="563"/>
      <c r="G65" s="564"/>
      <c r="H65" s="1058">
        <f t="shared" ref="H65:H72" si="8">R65</f>
        <v>100</v>
      </c>
      <c r="I65" s="273" t="str">
        <f>IF(S65=1,"i","")</f>
        <v/>
      </c>
      <c r="K65" s="228" t="b">
        <v>1</v>
      </c>
      <c r="M65" s="1252" t="s">
        <v>69</v>
      </c>
      <c r="N65" s="1253"/>
      <c r="O65" s="454" t="str">
        <f>E65</f>
        <v>Neubau sowie Umnutzung / Wiederherstellung</v>
      </c>
      <c r="P65" s="461"/>
      <c r="Q65" s="462" t="b">
        <f>$Q$61</f>
        <v>1</v>
      </c>
      <c r="R65" s="923">
        <f>Daten!$O$63</f>
        <v>100</v>
      </c>
      <c r="S65" s="457">
        <f>IF(AND(Q65=TRUE,H65&lt;&gt;R65,H65&lt;R65),1,0)</f>
        <v>0</v>
      </c>
      <c r="T65" s="458" t="b">
        <f>IF(AND($T$48=TRUE,S65&gt;0),TRUE,FALSE)</f>
        <v>0</v>
      </c>
      <c r="U65" s="458" t="b">
        <v>1</v>
      </c>
    </row>
    <row r="66" spans="2:21" ht="15.95" customHeight="1" x14ac:dyDescent="0.2">
      <c r="B66" s="32"/>
      <c r="C66" s="1280"/>
      <c r="D66" s="1281"/>
      <c r="E66" s="280" t="s">
        <v>563</v>
      </c>
      <c r="F66" s="530"/>
      <c r="G66" s="531"/>
      <c r="H66" s="1058">
        <f t="shared" si="8"/>
        <v>100</v>
      </c>
      <c r="I66" s="273"/>
      <c r="K66" s="228" t="b">
        <v>1</v>
      </c>
      <c r="M66" s="1254"/>
      <c r="N66" s="1255"/>
      <c r="O66" s="454" t="str">
        <f>E66</f>
        <v>Mod / Inst, wenn BV in Gemeinde gem. Anl. 2 der RL</v>
      </c>
      <c r="P66" s="461"/>
      <c r="Q66" s="462" t="b">
        <f>IF(AND($Q$43=TRUE,$Q$74=TRUE),TRUE,FALSE)</f>
        <v>0</v>
      </c>
      <c r="R66" s="923">
        <f>Daten!$O$63</f>
        <v>100</v>
      </c>
      <c r="S66" s="457">
        <f>IF(AND(Q66=TRUE,H66&lt;&gt;R66,H66&lt;R66),1,0)</f>
        <v>0</v>
      </c>
      <c r="T66" s="458" t="b">
        <f>IF(AND($T$62=TRUE,S66&gt;0),TRUE,FALSE)</f>
        <v>0</v>
      </c>
      <c r="U66" s="458" t="b">
        <v>1</v>
      </c>
    </row>
    <row r="67" spans="2:21" ht="15.95" customHeight="1" x14ac:dyDescent="0.2">
      <c r="B67" s="32"/>
      <c r="C67" s="1280"/>
      <c r="D67" s="1281"/>
      <c r="E67" s="565" t="s">
        <v>238</v>
      </c>
      <c r="F67" s="563"/>
      <c r="G67" s="564"/>
      <c r="H67" s="1059">
        <f t="shared" si="8"/>
        <v>100</v>
      </c>
      <c r="I67" s="273" t="str">
        <f>IF(S67=1,"i","")</f>
        <v/>
      </c>
      <c r="K67" s="228" t="b">
        <v>1</v>
      </c>
      <c r="M67" s="1254"/>
      <c r="N67" s="1255"/>
      <c r="O67" s="454" t="str">
        <f>E67</f>
        <v>Mod / Inst, wenn BV in übriger Gemeinde</v>
      </c>
      <c r="P67" s="461"/>
      <c r="Q67" s="462" t="b">
        <f>IF(AND($Q$43=TRUE,$Q$77=TRUE),TRUE,FALSE)</f>
        <v>0</v>
      </c>
      <c r="R67" s="923">
        <f>Daten!$O$65</f>
        <v>100</v>
      </c>
      <c r="S67" s="457">
        <f>IF(AND(Q67=TRUE,H67&lt;&gt;R67,H67&lt;R67),1,0)</f>
        <v>0</v>
      </c>
      <c r="T67" s="458" t="b">
        <f>IF(AND($T$62=TRUE,S67&gt;0),TRUE,FALSE)</f>
        <v>0</v>
      </c>
      <c r="U67" s="458" t="b">
        <v>1</v>
      </c>
    </row>
    <row r="68" spans="2:21" ht="15.95" hidden="1" customHeight="1" x14ac:dyDescent="0.2">
      <c r="B68" s="32"/>
      <c r="C68" s="1282"/>
      <c r="D68" s="1283"/>
      <c r="E68" s="565" t="s">
        <v>236</v>
      </c>
      <c r="F68" s="563"/>
      <c r="G68" s="564"/>
      <c r="H68" s="1059">
        <f t="shared" si="8"/>
        <v>100</v>
      </c>
      <c r="I68" s="273" t="str">
        <f>IF(S68=1,"i","")</f>
        <v/>
      </c>
      <c r="K68" s="421" t="b">
        <f>Daten!$L$16</f>
        <v>0</v>
      </c>
      <c r="M68" s="1256"/>
      <c r="N68" s="1257"/>
      <c r="O68" s="454" t="str">
        <f>E68</f>
        <v>Solo-Förderung Aufzüge</v>
      </c>
      <c r="P68" s="461"/>
      <c r="Q68" s="462" t="b">
        <f>$Q$50</f>
        <v>0</v>
      </c>
      <c r="R68" s="923">
        <f>Daten!$O$65</f>
        <v>100</v>
      </c>
      <c r="S68" s="457">
        <f>IF(AND(Q68=TRUE,H68&lt;&gt;R68,H68&lt;R68),1,0)</f>
        <v>0</v>
      </c>
      <c r="T68" s="458" t="b">
        <f>IF(AND(Daten!$M$81=TRUE,S68&gt;0),TRUE,FALSE)</f>
        <v>0</v>
      </c>
      <c r="U68" s="458" t="b">
        <v>1</v>
      </c>
    </row>
    <row r="69" spans="2:21" ht="15.95" customHeight="1" x14ac:dyDescent="0.2">
      <c r="B69" s="32"/>
      <c r="C69" s="1258" t="s">
        <v>341</v>
      </c>
      <c r="D69" s="1259"/>
      <c r="E69" s="1259"/>
      <c r="F69" s="1259"/>
      <c r="G69" s="1260"/>
      <c r="H69" s="1060">
        <f t="shared" si="8"/>
        <v>45</v>
      </c>
      <c r="I69" s="273" t="str">
        <f>IF(S69=1,"i","")</f>
        <v/>
      </c>
      <c r="K69" s="228" t="b">
        <v>1</v>
      </c>
      <c r="M69" s="478" t="s">
        <v>67</v>
      </c>
      <c r="N69" s="463"/>
      <c r="O69" s="463"/>
      <c r="P69" s="463"/>
      <c r="Q69" s="460" t="b">
        <v>1</v>
      </c>
      <c r="R69" s="923">
        <f>Daten!$O$69</f>
        <v>45</v>
      </c>
      <c r="S69" s="457">
        <f>IF(AND(Q69=TRUE,H69&lt;&gt;R69,H69&lt;R69),1,0)</f>
        <v>0</v>
      </c>
      <c r="T69" s="458" t="b">
        <f>IF(S69&gt;0,TRUE,FALSE)</f>
        <v>0</v>
      </c>
      <c r="U69" s="458" t="b">
        <v>1</v>
      </c>
    </row>
    <row r="70" spans="2:21" ht="15.95" customHeight="1" x14ac:dyDescent="0.2">
      <c r="B70" s="32"/>
      <c r="C70" s="529" t="s">
        <v>342</v>
      </c>
      <c r="D70" s="566"/>
      <c r="E70" s="566"/>
      <c r="F70" s="566"/>
      <c r="G70" s="567"/>
      <c r="H70" s="1061">
        <f t="shared" si="8"/>
        <v>30</v>
      </c>
      <c r="I70" s="273" t="str">
        <f>IF(S70=1,"i","")</f>
        <v/>
      </c>
      <c r="K70" s="228" t="b">
        <v>1</v>
      </c>
      <c r="M70" s="464" t="s">
        <v>68</v>
      </c>
      <c r="N70" s="463"/>
      <c r="O70" s="463"/>
      <c r="P70" s="463"/>
      <c r="Q70" s="460" t="b">
        <v>1</v>
      </c>
      <c r="R70" s="923">
        <f>Daten!$O$70</f>
        <v>30</v>
      </c>
      <c r="S70" s="457">
        <f>IF(AND(Q70=TRUE,H70&lt;&gt;R70),1,0)</f>
        <v>0</v>
      </c>
      <c r="T70" s="458" t="b">
        <f>IF(S70&gt;0,TRUE,FALSE)</f>
        <v>0</v>
      </c>
      <c r="U70" s="458" t="b">
        <v>1</v>
      </c>
    </row>
    <row r="71" spans="2:21" ht="15.95" customHeight="1" x14ac:dyDescent="0.2">
      <c r="B71" s="32"/>
      <c r="C71" s="891" t="s">
        <v>838</v>
      </c>
      <c r="D71" s="902"/>
      <c r="E71" s="902"/>
      <c r="F71" s="902"/>
      <c r="G71" s="902"/>
      <c r="H71" s="1061">
        <f t="shared" si="8"/>
        <v>25</v>
      </c>
      <c r="I71" s="273" t="str">
        <f t="shared" ref="I71:I72" si="9">IF(S71=1,"i","")</f>
        <v/>
      </c>
      <c r="K71" s="906" t="b">
        <f>Q71</f>
        <v>1</v>
      </c>
      <c r="M71" s="464" t="s">
        <v>750</v>
      </c>
      <c r="N71" s="903"/>
      <c r="O71" s="903"/>
      <c r="P71" s="903"/>
      <c r="Q71" s="905" t="b">
        <f>IF(Daten!L17=TRUE,TRUE,FALSE)</f>
        <v>1</v>
      </c>
      <c r="R71" s="923">
        <f>Daten!$O$71</f>
        <v>25</v>
      </c>
      <c r="S71" s="457">
        <f>IF(AND(Q71=TRUE,H71&lt;&gt;R71),1,0)</f>
        <v>0</v>
      </c>
      <c r="T71" s="458" t="b">
        <f>IF(S71&gt;0,TRUE,FALSE)</f>
        <v>0</v>
      </c>
      <c r="U71" s="904" t="b">
        <v>1</v>
      </c>
    </row>
    <row r="72" spans="2:21" ht="15.95" customHeight="1" x14ac:dyDescent="0.2">
      <c r="B72" s="32"/>
      <c r="C72" s="1051" t="s">
        <v>840</v>
      </c>
      <c r="D72" s="902"/>
      <c r="E72" s="902"/>
      <c r="F72" s="902"/>
      <c r="G72" s="902"/>
      <c r="H72" s="1057" t="b">
        <f t="shared" si="8"/>
        <v>1</v>
      </c>
      <c r="I72" s="273" t="str">
        <f t="shared" si="9"/>
        <v/>
      </c>
      <c r="K72" s="228" t="b">
        <v>1</v>
      </c>
      <c r="M72" s="1042" t="s">
        <v>840</v>
      </c>
      <c r="N72" s="903"/>
      <c r="O72" s="903"/>
      <c r="P72" s="903"/>
      <c r="Q72" s="460" t="b">
        <v>1</v>
      </c>
      <c r="R72" s="1052" t="b">
        <v>1</v>
      </c>
      <c r="S72" s="457">
        <f>IF(AND(Q72=TRUE,H72&lt;&gt;R72),1,0)</f>
        <v>0</v>
      </c>
      <c r="T72" s="458" t="b">
        <f>IF(S72&gt;0,TRUE,FALSE)</f>
        <v>0</v>
      </c>
      <c r="U72" s="904" t="b">
        <v>1</v>
      </c>
    </row>
    <row r="73" spans="2:21" ht="15.95" customHeight="1" x14ac:dyDescent="0.2">
      <c r="B73" s="32"/>
      <c r="C73" s="278" t="s">
        <v>40</v>
      </c>
      <c r="D73" s="561"/>
      <c r="E73" s="561"/>
      <c r="F73" s="561"/>
      <c r="G73" s="561"/>
      <c r="H73" s="562"/>
      <c r="I73" s="46"/>
      <c r="K73" s="228" t="b">
        <v>1</v>
      </c>
      <c r="M73" s="451" t="str">
        <f>C73</f>
        <v>Höchstmieten</v>
      </c>
      <c r="N73" s="452"/>
      <c r="O73" s="452"/>
      <c r="P73" s="452"/>
      <c r="Q73" s="452"/>
      <c r="R73" s="452"/>
      <c r="S73" s="459"/>
      <c r="T73" s="453"/>
      <c r="U73" s="453"/>
    </row>
    <row r="74" spans="2:21" ht="15.95" customHeight="1" x14ac:dyDescent="0.2">
      <c r="B74" s="32"/>
      <c r="C74" s="1280" t="s">
        <v>156</v>
      </c>
      <c r="D74" s="1281"/>
      <c r="E74" s="565" t="s">
        <v>30</v>
      </c>
      <c r="F74" s="563"/>
      <c r="G74" s="564"/>
      <c r="H74" s="1062">
        <f t="shared" ref="H74:H79" si="10">R74</f>
        <v>6.5</v>
      </c>
      <c r="I74" s="273" t="str">
        <f t="shared" ref="I74:I79" si="11">IF(S74=1,"i","")</f>
        <v/>
      </c>
      <c r="K74" s="228" t="b">
        <v>1</v>
      </c>
      <c r="M74" s="1284" t="s">
        <v>323</v>
      </c>
      <c r="N74" s="1284"/>
      <c r="O74" s="465" t="s">
        <v>607</v>
      </c>
      <c r="P74" s="466"/>
      <c r="Q74" s="462" t="b">
        <f>IF(LEFT(Berechnung!$K$17,1)="j",TRUE,FALSE)</f>
        <v>0</v>
      </c>
      <c r="R74" s="917">
        <f>INDEX(Daten!$S$12:$S$19,MATCH(TRUE,Daten!$L$12:$L$19,0),1)</f>
        <v>6.5</v>
      </c>
      <c r="S74" s="457">
        <f>IF(AND(Q74=TRUE,H74&lt;&gt;R74),1,0)</f>
        <v>0</v>
      </c>
      <c r="T74" s="458" t="b">
        <f>IF(AND(S74&gt;0,LEFT(Berechnung!$K$17,1)="j",Berechnung!$V$27&lt;&gt;R74),TRUE,FALSE)</f>
        <v>0</v>
      </c>
      <c r="U74" s="458" t="b">
        <v>1</v>
      </c>
    </row>
    <row r="75" spans="2:21" ht="15.95" customHeight="1" x14ac:dyDescent="0.2">
      <c r="B75" s="32"/>
      <c r="C75" s="1280"/>
      <c r="D75" s="1281"/>
      <c r="E75" s="565" t="s">
        <v>31</v>
      </c>
      <c r="F75" s="563"/>
      <c r="G75" s="564"/>
      <c r="H75" s="1062">
        <f t="shared" si="10"/>
        <v>9</v>
      </c>
      <c r="I75" s="273" t="str">
        <f t="shared" si="11"/>
        <v/>
      </c>
      <c r="K75" s="228" t="b">
        <v>1</v>
      </c>
      <c r="M75" s="1284"/>
      <c r="N75" s="1284"/>
      <c r="O75" s="465" t="s">
        <v>608</v>
      </c>
      <c r="P75" s="911"/>
      <c r="Q75" s="910" t="b">
        <f>IF(LEFT(Berechnung!$K$17,1)="j",TRUE,FALSE)</f>
        <v>0</v>
      </c>
      <c r="R75" s="924">
        <f>INDEX(Daten!$T$12:$T$19,MATCH(TRUE,Daten!$L$12:$L$19,0),1)</f>
        <v>9</v>
      </c>
      <c r="S75" s="904">
        <f t="shared" si="7"/>
        <v>0</v>
      </c>
      <c r="T75" s="904" t="b">
        <f>IF(AND(S75&gt;0,LEFT(Berechnung!$K$17,1)="j",Berechnung!$V$28&lt;&gt;R75),TRUE,FALSE)</f>
        <v>0</v>
      </c>
      <c r="U75" s="904" t="b">
        <v>1</v>
      </c>
    </row>
    <row r="76" spans="2:21" ht="15.95" customHeight="1" x14ac:dyDescent="0.2">
      <c r="B76" s="32"/>
      <c r="C76" s="1282"/>
      <c r="D76" s="1283"/>
      <c r="E76" s="565" t="str">
        <f>O76</f>
        <v>Max. Miete für 3. EK-Grenze Anlage 3 RL</v>
      </c>
      <c r="F76" s="907"/>
      <c r="G76" s="908"/>
      <c r="H76" s="1062">
        <f t="shared" si="10"/>
        <v>12</v>
      </c>
      <c r="I76" s="273" t="str">
        <f t="shared" si="11"/>
        <v/>
      </c>
      <c r="K76" s="912" t="b">
        <f>K71</f>
        <v>1</v>
      </c>
      <c r="M76" s="1284"/>
      <c r="N76" s="1284"/>
      <c r="O76" s="465" t="s">
        <v>754</v>
      </c>
      <c r="P76" s="911"/>
      <c r="Q76" s="910" t="b">
        <f>IF(LEFT(Berechnung!$K$17,1)="j",TRUE,FALSE)</f>
        <v>0</v>
      </c>
      <c r="R76" s="924">
        <f>INDEX(Daten!$U$12:$U$19,MATCH(TRUE,Daten!$L$12:$L$19,0),1)</f>
        <v>12</v>
      </c>
      <c r="S76" s="904">
        <f t="shared" si="7"/>
        <v>0</v>
      </c>
      <c r="T76" s="904" t="b">
        <f>IF(AND(S76&gt;0,LEFT(Berechnung!$K$17,1)="j",Berechnung!$V$29&lt;&gt;R76),TRUE,FALSE)</f>
        <v>0</v>
      </c>
      <c r="U76" s="904" t="b">
        <v>1</v>
      </c>
    </row>
    <row r="77" spans="2:21" ht="15.95" customHeight="1" x14ac:dyDescent="0.2">
      <c r="B77" s="32"/>
      <c r="C77" s="1280" t="s">
        <v>325</v>
      </c>
      <c r="D77" s="1281"/>
      <c r="E77" s="565" t="s">
        <v>30</v>
      </c>
      <c r="F77" s="563"/>
      <c r="G77" s="564"/>
      <c r="H77" s="1062">
        <f t="shared" si="10"/>
        <v>6</v>
      </c>
      <c r="I77" s="273" t="str">
        <f t="shared" si="11"/>
        <v/>
      </c>
      <c r="K77" s="228" t="b">
        <v>1</v>
      </c>
      <c r="M77" s="1285" t="s">
        <v>325</v>
      </c>
      <c r="N77" s="1286"/>
      <c r="O77" s="465" t="s">
        <v>609</v>
      </c>
      <c r="P77" s="911"/>
      <c r="Q77" s="910" t="b">
        <f>IF(OR(Berechnung!$K$17="",LEFT(Berechnung!$K$17,1)="n"),TRUE,FALSE)</f>
        <v>1</v>
      </c>
      <c r="R77" s="924">
        <f>INDEX(Daten!$V$12:$V$19,MATCH(TRUE,Daten!$L$12:$L$19,0),1)</f>
        <v>6</v>
      </c>
      <c r="S77" s="904">
        <f t="shared" si="7"/>
        <v>0</v>
      </c>
      <c r="T77" s="904" t="b">
        <f>IF(AND(S77&gt;0,LEFT(Berechnung!$K$17,1)="n",Berechnung!$V$27&lt;&gt;R77),TRUE,FALSE)</f>
        <v>0</v>
      </c>
      <c r="U77" s="904" t="b">
        <v>1</v>
      </c>
    </row>
    <row r="78" spans="2:21" ht="15.95" customHeight="1" x14ac:dyDescent="0.2">
      <c r="B78" s="32"/>
      <c r="C78" s="1280"/>
      <c r="D78" s="1281"/>
      <c r="E78" s="565" t="s">
        <v>31</v>
      </c>
      <c r="F78" s="563"/>
      <c r="G78" s="564"/>
      <c r="H78" s="1062">
        <f t="shared" si="10"/>
        <v>8</v>
      </c>
      <c r="I78" s="273" t="str">
        <f t="shared" si="11"/>
        <v/>
      </c>
      <c r="K78" s="228" t="b">
        <v>1</v>
      </c>
      <c r="M78" s="1285"/>
      <c r="N78" s="1286"/>
      <c r="O78" s="465" t="s">
        <v>610</v>
      </c>
      <c r="P78" s="911"/>
      <c r="Q78" s="910" t="b">
        <f>IF(OR(Berechnung!$K$17="",LEFT(Berechnung!$K$17,1)="n"),TRUE,FALSE)</f>
        <v>1</v>
      </c>
      <c r="R78" s="924">
        <f>INDEX(Daten!$W$12:$W$19,MATCH(TRUE,Daten!$L$12:$L$19,0),1)</f>
        <v>8</v>
      </c>
      <c r="S78" s="904">
        <f t="shared" si="7"/>
        <v>0</v>
      </c>
      <c r="T78" s="904" t="b">
        <f>IF(AND(S78&gt;0,LEFT(Berechnung!$K$17,1)="n",Berechnung!$V$28&lt;&gt;R78),TRUE,FALSE)</f>
        <v>0</v>
      </c>
      <c r="U78" s="904" t="b">
        <v>1</v>
      </c>
    </row>
    <row r="79" spans="2:21" ht="15.95" customHeight="1" x14ac:dyDescent="0.2">
      <c r="B79" s="32"/>
      <c r="C79" s="1282"/>
      <c r="D79" s="1283"/>
      <c r="E79" s="565" t="s">
        <v>753</v>
      </c>
      <c r="F79" s="907"/>
      <c r="G79" s="564"/>
      <c r="H79" s="1062">
        <f t="shared" si="10"/>
        <v>10</v>
      </c>
      <c r="I79" s="273" t="str">
        <f t="shared" si="11"/>
        <v/>
      </c>
      <c r="K79" s="912" t="b">
        <f>K76</f>
        <v>1</v>
      </c>
      <c r="M79" s="1287"/>
      <c r="N79" s="1288"/>
      <c r="O79" s="465" t="s">
        <v>755</v>
      </c>
      <c r="P79" s="911"/>
      <c r="Q79" s="910" t="b">
        <f>IF(OR(Berechnung!$K$17="",LEFT(Berechnung!$K$17,1)="n"),TRUE,FALSE)</f>
        <v>1</v>
      </c>
      <c r="R79" s="924">
        <f>INDEX(Daten!$X$12:$X$19,MATCH(TRUE,Daten!$L$12:$L$19,0),1)</f>
        <v>10</v>
      </c>
      <c r="S79" s="904">
        <f t="shared" si="7"/>
        <v>0</v>
      </c>
      <c r="T79" s="904" t="b">
        <f>IF(AND(S79&gt;0,LEFT(Berechnung!$K$17,1)="n",Berechnung!$V$29&lt;&gt;R79),TRUE,FALSE)</f>
        <v>0</v>
      </c>
      <c r="U79" s="904" t="b">
        <v>1</v>
      </c>
    </row>
    <row r="80" spans="2:21" ht="15.95" customHeight="1" x14ac:dyDescent="0.2">
      <c r="B80" s="32"/>
      <c r="C80" s="278" t="s">
        <v>41</v>
      </c>
      <c r="D80" s="561"/>
      <c r="E80" s="561"/>
      <c r="F80" s="561"/>
      <c r="G80" s="561"/>
      <c r="H80" s="562"/>
      <c r="I80" s="273" t="str">
        <f t="shared" ref="I80:I97" si="12">IF(S80=1,"i","")</f>
        <v/>
      </c>
      <c r="K80" s="228" t="b">
        <v>1</v>
      </c>
      <c r="M80" s="451" t="str">
        <f>C80</f>
        <v>EK-Verzinsung</v>
      </c>
      <c r="N80" s="452"/>
      <c r="O80" s="452"/>
      <c r="P80" s="452"/>
      <c r="Q80" s="452"/>
      <c r="R80" s="452"/>
      <c r="S80" s="459"/>
      <c r="T80" s="453"/>
      <c r="U80" s="453"/>
    </row>
    <row r="81" spans="2:21" ht="15.95" customHeight="1" x14ac:dyDescent="0.2">
      <c r="B81" s="32"/>
      <c r="C81" s="277" t="s">
        <v>154</v>
      </c>
      <c r="D81" s="563"/>
      <c r="E81" s="568">
        <f>O81</f>
        <v>15</v>
      </c>
      <c r="F81" s="569" t="s">
        <v>155</v>
      </c>
      <c r="G81" s="570"/>
      <c r="H81" s="786">
        <f>R81</f>
        <v>2</v>
      </c>
      <c r="I81" s="273" t="str">
        <f t="shared" si="12"/>
        <v/>
      </c>
      <c r="K81" s="228" t="b">
        <v>1</v>
      </c>
      <c r="M81" s="467" t="s">
        <v>154</v>
      </c>
      <c r="N81" s="468"/>
      <c r="O81" s="469">
        <v>15</v>
      </c>
      <c r="P81" s="470" t="s">
        <v>153</v>
      </c>
      <c r="Q81" s="471" t="b">
        <v>1</v>
      </c>
      <c r="R81" s="921">
        <v>2</v>
      </c>
      <c r="S81" s="457">
        <f>IF(AND(Q81=TRUE,OR(AND(H81&lt;&gt;R81,H81&gt;R81),AND(E81&lt;&gt;O81,E81&lt;O81))),1,0)</f>
        <v>0</v>
      </c>
      <c r="T81" s="458" t="b">
        <f>IF(S81&gt;0,TRUE,FALSE)</f>
        <v>0</v>
      </c>
      <c r="U81" s="458" t="b">
        <v>0</v>
      </c>
    </row>
    <row r="82" spans="2:21" ht="15.95" customHeight="1" x14ac:dyDescent="0.2">
      <c r="B82" s="32"/>
      <c r="C82" s="277" t="s">
        <v>152</v>
      </c>
      <c r="D82" s="563"/>
      <c r="E82" s="563"/>
      <c r="F82" s="563"/>
      <c r="G82" s="564"/>
      <c r="H82" s="785">
        <f>R82</f>
        <v>3</v>
      </c>
      <c r="I82" s="273" t="str">
        <f t="shared" si="12"/>
        <v/>
      </c>
      <c r="K82" s="228" t="b">
        <v>1</v>
      </c>
      <c r="M82" s="467" t="s">
        <v>152</v>
      </c>
      <c r="N82" s="463"/>
      <c r="O82" s="463"/>
      <c r="P82" s="472"/>
      <c r="Q82" s="460" t="b">
        <v>1</v>
      </c>
      <c r="R82" s="921">
        <v>3</v>
      </c>
      <c r="S82" s="457">
        <f>IF(AND(Q82=TRUE,H82&lt;&gt;R82,H82&gt;R82),1,0)</f>
        <v>0</v>
      </c>
      <c r="T82" s="458" t="b">
        <f>IF(S82&gt;0,TRUE,FALSE)</f>
        <v>0</v>
      </c>
      <c r="U82" s="458" t="b">
        <v>0</v>
      </c>
    </row>
    <row r="83" spans="2:21" ht="15.95" hidden="1" customHeight="1" x14ac:dyDescent="0.2">
      <c r="B83" s="32"/>
      <c r="C83" s="279" t="s">
        <v>76</v>
      </c>
      <c r="D83" s="571"/>
      <c r="E83" s="571"/>
      <c r="F83" s="571"/>
      <c r="G83" s="571"/>
      <c r="H83" s="787"/>
      <c r="I83" s="273" t="str">
        <f t="shared" si="12"/>
        <v/>
      </c>
      <c r="K83" s="421" t="b">
        <f>IF(Daten!$M$12=TRUE,TRUE,FALSE)</f>
        <v>0</v>
      </c>
      <c r="M83" s="451" t="str">
        <f>C83</f>
        <v>Besetzungsrechte</v>
      </c>
      <c r="N83" s="452"/>
      <c r="O83" s="452"/>
      <c r="P83" s="452"/>
      <c r="Q83" s="452"/>
      <c r="R83" s="452"/>
      <c r="S83" s="459"/>
      <c r="T83" s="453"/>
      <c r="U83" s="453"/>
    </row>
    <row r="84" spans="2:21" ht="15.95" hidden="1" customHeight="1" x14ac:dyDescent="0.2">
      <c r="C84" s="277" t="s">
        <v>78</v>
      </c>
      <c r="D84" s="563"/>
      <c r="E84" s="563"/>
      <c r="F84" s="563"/>
      <c r="G84" s="564"/>
      <c r="H84" s="785">
        <f>R84</f>
        <v>25</v>
      </c>
      <c r="I84" s="273" t="str">
        <f t="shared" si="12"/>
        <v/>
      </c>
      <c r="K84" s="421" t="b">
        <f>K83</f>
        <v>0</v>
      </c>
      <c r="M84" s="454" t="s">
        <v>78</v>
      </c>
      <c r="N84" s="461"/>
      <c r="O84" s="461"/>
      <c r="P84" s="461"/>
      <c r="Q84" s="462" t="b">
        <f>Daten!$M$12</f>
        <v>0</v>
      </c>
      <c r="R84" s="921">
        <v>25</v>
      </c>
      <c r="S84" s="457">
        <f>IF(AND(Q84=TRUE,H84&lt;&gt;R84),1,0)</f>
        <v>0</v>
      </c>
      <c r="T84" s="458" t="b">
        <f>IF(S84&gt;0,TRUE,FALSE)</f>
        <v>0</v>
      </c>
      <c r="U84" s="458" t="b">
        <v>0</v>
      </c>
    </row>
    <row r="85" spans="2:21" ht="15.95" customHeight="1" x14ac:dyDescent="0.2">
      <c r="C85" s="278" t="s">
        <v>38</v>
      </c>
      <c r="D85" s="561"/>
      <c r="E85" s="561"/>
      <c r="F85" s="561"/>
      <c r="G85" s="561"/>
      <c r="H85" s="562"/>
      <c r="I85" s="273"/>
      <c r="K85" s="228" t="b">
        <v>1</v>
      </c>
      <c r="M85" s="451" t="str">
        <f>C85</f>
        <v>Bewirtschaftungskosten</v>
      </c>
      <c r="N85" s="452"/>
      <c r="O85" s="452"/>
      <c r="P85" s="452"/>
      <c r="Q85" s="452"/>
      <c r="R85" s="452"/>
      <c r="S85" s="459"/>
      <c r="T85" s="453"/>
      <c r="U85" s="453"/>
    </row>
    <row r="86" spans="2:21" ht="15.95" customHeight="1" x14ac:dyDescent="0.2">
      <c r="C86" s="1289" t="s">
        <v>425</v>
      </c>
      <c r="D86" s="1290"/>
      <c r="E86" s="572" t="s">
        <v>427</v>
      </c>
      <c r="F86" s="573"/>
      <c r="G86" s="574"/>
      <c r="H86" s="788">
        <f t="shared" ref="H86:H93" ca="1" si="13">R86</f>
        <v>343.69</v>
      </c>
      <c r="I86" s="273" t="str">
        <f t="shared" ca="1" si="12"/>
        <v/>
      </c>
      <c r="K86" s="228" t="b">
        <v>1</v>
      </c>
      <c r="M86" s="1295" t="str">
        <f>C86</f>
        <v>Verwaltungskosten p. a.</v>
      </c>
      <c r="N86" s="1296"/>
      <c r="O86" s="473" t="str">
        <f>E86</f>
        <v>pro Wohneinheit</v>
      </c>
      <c r="P86" s="474">
        <f t="shared" ref="P86:P92" ca="1" si="14">IF(H86="",R86,H86)</f>
        <v>343.69</v>
      </c>
      <c r="Q86" s="460" t="b">
        <v>1</v>
      </c>
      <c r="R86" s="925">
        <f ca="1">VLOOKUP(Daten!$O$3,Grunddaten!$B$11:$I$35,5)</f>
        <v>343.69</v>
      </c>
      <c r="S86" s="457">
        <f ca="1">IF(AND(Q86=TRUE,P86&lt;&gt;R86),1,0)</f>
        <v>0</v>
      </c>
      <c r="T86" s="458" t="b">
        <f ca="1">IF(S86&gt;0,TRUE,FALSE)</f>
        <v>0</v>
      </c>
      <c r="U86" s="458" t="b">
        <v>0</v>
      </c>
    </row>
    <row r="87" spans="2:21" ht="15.95" customHeight="1" x14ac:dyDescent="0.2">
      <c r="C87" s="1293"/>
      <c r="D87" s="1294"/>
      <c r="E87" s="572" t="s">
        <v>428</v>
      </c>
      <c r="F87" s="573"/>
      <c r="G87" s="574"/>
      <c r="H87" s="788">
        <f t="shared" ca="1" si="13"/>
        <v>44.83</v>
      </c>
      <c r="I87" s="273" t="str">
        <f ca="1">IF(S87=1,"i","")</f>
        <v/>
      </c>
      <c r="K87" s="228" t="b">
        <v>1</v>
      </c>
      <c r="M87" s="1297"/>
      <c r="N87" s="1298"/>
      <c r="O87" s="473" t="str">
        <f t="shared" ref="O87:O90" si="15">E87</f>
        <v>pro Garage / Carport</v>
      </c>
      <c r="P87" s="474">
        <f t="shared" ca="1" si="14"/>
        <v>44.83</v>
      </c>
      <c r="Q87" s="462" t="b">
        <f>IF(Berechnung!$G$69&gt;0,TRUE,FALSE)</f>
        <v>0</v>
      </c>
      <c r="R87" s="925">
        <f ca="1">VLOOKUP(Daten!$O$3,Grunddaten!$B$11:$I$35,6)</f>
        <v>44.83</v>
      </c>
      <c r="S87" s="457">
        <f ca="1">IF(AND(Q87=TRUE,P87&lt;&gt;R87),1,0)</f>
        <v>0</v>
      </c>
      <c r="T87" s="458" t="b">
        <f t="shared" ref="T87:T91" ca="1" si="16">IF(S87&gt;0,TRUE,FALSE)</f>
        <v>0</v>
      </c>
      <c r="U87" s="458" t="b">
        <v>0</v>
      </c>
    </row>
    <row r="88" spans="2:21" ht="15.95" customHeight="1" x14ac:dyDescent="0.2">
      <c r="C88" s="1289" t="s">
        <v>430</v>
      </c>
      <c r="D88" s="1290"/>
      <c r="E88" s="572" t="s">
        <v>426</v>
      </c>
      <c r="F88" s="573"/>
      <c r="G88" s="574"/>
      <c r="H88" s="788">
        <f t="shared" ca="1" si="13"/>
        <v>10.61</v>
      </c>
      <c r="I88" s="273" t="str">
        <f t="shared" ca="1" si="12"/>
        <v/>
      </c>
      <c r="K88" s="228" t="b">
        <v>1</v>
      </c>
      <c r="M88" s="1295" t="str">
        <f t="shared" ref="M88:M91" si="17">C88</f>
        <v>Instandhaltungskosten p. a.</v>
      </c>
      <c r="N88" s="1296"/>
      <c r="O88" s="473" t="str">
        <f t="shared" si="15"/>
        <v>pro m² Wohnfläche</v>
      </c>
      <c r="P88" s="474">
        <f t="shared" ca="1" si="14"/>
        <v>10.61</v>
      </c>
      <c r="Q88" s="460" t="b">
        <v>1</v>
      </c>
      <c r="R88" s="925">
        <f ca="1">VLOOKUP(Daten!$O$3,Grunddaten!$B$11:$I$35,2)</f>
        <v>10.61</v>
      </c>
      <c r="S88" s="457">
        <f t="shared" ref="S88:S91" ca="1" si="18">IF(AND(Q88=TRUE,P88&lt;&gt;R88),1,0)</f>
        <v>0</v>
      </c>
      <c r="T88" s="458" t="b">
        <f t="shared" ca="1" si="16"/>
        <v>0</v>
      </c>
      <c r="U88" s="458" t="b">
        <v>0</v>
      </c>
    </row>
    <row r="89" spans="2:21" ht="15.95" customHeight="1" x14ac:dyDescent="0.2">
      <c r="C89" s="1291"/>
      <c r="D89" s="1292"/>
      <c r="E89" s="572" t="s">
        <v>429</v>
      </c>
      <c r="F89" s="573"/>
      <c r="G89" s="574"/>
      <c r="H89" s="788">
        <f t="shared" ca="1" si="13"/>
        <v>1.5</v>
      </c>
      <c r="I89" s="273" t="str">
        <f t="shared" ca="1" si="12"/>
        <v/>
      </c>
      <c r="K89" s="228" t="b">
        <v>1</v>
      </c>
      <c r="M89" s="1299"/>
      <c r="N89" s="1300"/>
      <c r="O89" s="473" t="s">
        <v>431</v>
      </c>
      <c r="P89" s="474">
        <f t="shared" ca="1" si="14"/>
        <v>1.5</v>
      </c>
      <c r="Q89" s="462" t="b">
        <f>IF(OR(Daten!$H$77=TRUE,LEFT(Berechnung!$G$70,1)="J"),TRUE,FALSE)</f>
        <v>0</v>
      </c>
      <c r="R89" s="925">
        <f ca="1">VLOOKUP(Daten!$O$3,Grunddaten!$B$11:$I$35,3)</f>
        <v>1.5</v>
      </c>
      <c r="S89" s="457">
        <f t="shared" ca="1" si="18"/>
        <v>0</v>
      </c>
      <c r="T89" s="458" t="b">
        <f t="shared" ca="1" si="16"/>
        <v>0</v>
      </c>
      <c r="U89" s="458" t="b">
        <v>0</v>
      </c>
    </row>
    <row r="90" spans="2:21" ht="15.95" customHeight="1" x14ac:dyDescent="0.2">
      <c r="C90" s="1293"/>
      <c r="D90" s="1294"/>
      <c r="E90" s="572" t="s">
        <v>428</v>
      </c>
      <c r="F90" s="573"/>
      <c r="G90" s="574"/>
      <c r="H90" s="788">
        <f t="shared" ca="1" si="13"/>
        <v>101.62</v>
      </c>
      <c r="I90" s="273" t="str">
        <f ca="1">IF(S90=1,"i","")</f>
        <v/>
      </c>
      <c r="K90" s="228" t="b">
        <v>1</v>
      </c>
      <c r="M90" s="1297"/>
      <c r="N90" s="1298"/>
      <c r="O90" s="473" t="str">
        <f t="shared" si="15"/>
        <v>pro Garage / Carport</v>
      </c>
      <c r="P90" s="474">
        <f t="shared" ca="1" si="14"/>
        <v>101.62</v>
      </c>
      <c r="Q90" s="462" t="b">
        <f>$Q$87</f>
        <v>0</v>
      </c>
      <c r="R90" s="925">
        <f ca="1">VLOOKUP(Daten!$O$3,Grunddaten!$B$11:$I$35,4)</f>
        <v>101.62</v>
      </c>
      <c r="S90" s="457">
        <f ca="1">IF(AND(Q90=TRUE,P90&lt;&gt;R90),1,0)</f>
        <v>0</v>
      </c>
      <c r="T90" s="458" t="b">
        <f t="shared" ca="1" si="16"/>
        <v>0</v>
      </c>
      <c r="U90" s="458" t="b">
        <v>0</v>
      </c>
    </row>
    <row r="91" spans="2:21" ht="15.95" customHeight="1" x14ac:dyDescent="0.2">
      <c r="C91" s="500" t="s">
        <v>424</v>
      </c>
      <c r="D91" s="575"/>
      <c r="E91" s="575"/>
      <c r="F91" s="575"/>
      <c r="G91" s="576"/>
      <c r="H91" s="789">
        <f t="shared" ca="1" si="13"/>
        <v>2</v>
      </c>
      <c r="I91" s="273" t="str">
        <f t="shared" ca="1" si="12"/>
        <v/>
      </c>
      <c r="K91" s="228" t="b">
        <v>1</v>
      </c>
      <c r="M91" s="473" t="str">
        <f t="shared" si="17"/>
        <v>Mietausfallwagnis pro Jahr</v>
      </c>
      <c r="N91" s="475"/>
      <c r="O91" s="475"/>
      <c r="P91" s="476">
        <f t="shared" ca="1" si="14"/>
        <v>2</v>
      </c>
      <c r="Q91" s="460" t="b">
        <v>1</v>
      </c>
      <c r="R91" s="926">
        <f ca="1">VLOOKUP(Daten!$O$3,Grunddaten!$B$11:$I$35,7)</f>
        <v>2</v>
      </c>
      <c r="S91" s="457">
        <f t="shared" ca="1" si="18"/>
        <v>0</v>
      </c>
      <c r="T91" s="458" t="b">
        <f t="shared" ca="1" si="16"/>
        <v>0</v>
      </c>
      <c r="U91" s="458" t="b">
        <v>0</v>
      </c>
    </row>
    <row r="92" spans="2:21" ht="15.95" customHeight="1" x14ac:dyDescent="0.2">
      <c r="C92" s="857" t="s">
        <v>715</v>
      </c>
      <c r="D92" s="858"/>
      <c r="E92" s="858"/>
      <c r="F92" s="858"/>
      <c r="G92" s="858"/>
      <c r="H92" s="1063">
        <f t="shared" si="13"/>
        <v>0</v>
      </c>
      <c r="I92" s="273"/>
      <c r="K92" s="228" t="b">
        <v>1</v>
      </c>
      <c r="M92" s="859" t="str">
        <f t="shared" ref="M92:M97" si="19">C92</f>
        <v>Nicht umlegbare Betriebskosten pro m² Leerstand pro Monat</v>
      </c>
      <c r="N92" s="860"/>
      <c r="O92" s="860"/>
      <c r="P92" s="474">
        <f t="shared" si="14"/>
        <v>0</v>
      </c>
      <c r="Q92" s="460" t="b">
        <v>1</v>
      </c>
      <c r="R92" s="925">
        <v>0</v>
      </c>
      <c r="S92" s="457">
        <f t="shared" ref="S92" si="20">IF(AND(Q92=TRUE,P92&lt;&gt;R92),1,0)</f>
        <v>0</v>
      </c>
      <c r="T92" s="458" t="b">
        <f t="shared" ref="T92" si="21">IF(S92&gt;0,TRUE,FALSE)</f>
        <v>0</v>
      </c>
      <c r="U92" s="458" t="b">
        <v>1</v>
      </c>
    </row>
    <row r="93" spans="2:21" ht="15.95" hidden="1" customHeight="1" x14ac:dyDescent="0.2">
      <c r="C93" s="857" t="s">
        <v>805</v>
      </c>
      <c r="D93" s="858"/>
      <c r="E93" s="858"/>
      <c r="F93" s="858"/>
      <c r="G93" s="858"/>
      <c r="H93" s="789">
        <f t="shared" si="13"/>
        <v>60</v>
      </c>
      <c r="I93" s="273"/>
      <c r="K93" s="421" t="b">
        <f>IF(OR(Daten!M79=TRUE,Daten!M80=TRUE),TRUE,FALSE)</f>
        <v>0</v>
      </c>
      <c r="M93" s="859" t="str">
        <f t="shared" si="19"/>
        <v>Pauschaler Ansatz für Anteil von Modernisierungskosten</v>
      </c>
      <c r="N93" s="860"/>
      <c r="O93" s="860"/>
      <c r="P93" s="860"/>
      <c r="Q93" s="460" t="b">
        <v>1</v>
      </c>
      <c r="R93" s="923">
        <v>60</v>
      </c>
      <c r="S93" s="904">
        <f>IF(AND(Q93=TRUE,H93&lt;&gt;R93),1,0)</f>
        <v>0</v>
      </c>
      <c r="T93" s="458" t="b">
        <f t="shared" ref="T93" si="22">IF(S93&gt;0,TRUE,FALSE)</f>
        <v>0</v>
      </c>
      <c r="U93" s="458" t="b">
        <f>K93</f>
        <v>0</v>
      </c>
    </row>
    <row r="94" spans="2:21" ht="15.95" hidden="1" customHeight="1" x14ac:dyDescent="0.2">
      <c r="C94" s="278" t="s">
        <v>453</v>
      </c>
      <c r="D94" s="561"/>
      <c r="E94" s="561"/>
      <c r="F94" s="561"/>
      <c r="G94" s="561"/>
      <c r="H94" s="577"/>
      <c r="K94" s="421" t="b">
        <f>IF(Daten!$M$3=TRUE,TRUE,FALSE)</f>
        <v>0</v>
      </c>
      <c r="M94" s="451" t="str">
        <f t="shared" si="19"/>
        <v>Zielwertberechnung des Baudarlehens (Maßnahme)</v>
      </c>
      <c r="N94" s="452"/>
      <c r="O94" s="452"/>
      <c r="P94" s="452"/>
      <c r="Q94" s="452"/>
      <c r="R94" s="452"/>
      <c r="S94" s="459"/>
      <c r="T94" s="453"/>
      <c r="U94" s="453"/>
    </row>
    <row r="95" spans="2:21" ht="15.95" hidden="1" customHeight="1" x14ac:dyDescent="0.2">
      <c r="C95" s="501" t="s">
        <v>454</v>
      </c>
      <c r="D95" s="560"/>
      <c r="E95" s="560"/>
      <c r="F95" s="560"/>
      <c r="G95" s="578"/>
      <c r="H95" s="790">
        <f>R95</f>
        <v>100</v>
      </c>
      <c r="I95" s="273" t="str">
        <f t="shared" si="12"/>
        <v/>
      </c>
      <c r="K95" s="421" t="b">
        <f>IF(Daten!$M$3=TRUE,TRUE,FALSE)</f>
        <v>0</v>
      </c>
      <c r="M95" s="473" t="str">
        <f t="shared" si="19"/>
        <v>Anzahl maximaler Durchläufe (Iterationen) für die Zielwertberechnung</v>
      </c>
      <c r="N95" s="505"/>
      <c r="O95" s="505"/>
      <c r="P95" s="508">
        <v>100</v>
      </c>
      <c r="Q95" s="460" t="b">
        <v>1</v>
      </c>
      <c r="R95" s="927">
        <v>100</v>
      </c>
      <c r="S95" s="457">
        <f>IF(AND(Q95=TRUE,H95&lt;&gt;R95),1,0)</f>
        <v>0</v>
      </c>
      <c r="T95" s="458" t="b">
        <f>IF(S95&gt;0,TRUE,FALSE)</f>
        <v>0</v>
      </c>
      <c r="U95" s="458" t="b">
        <v>0</v>
      </c>
    </row>
    <row r="96" spans="2:21" ht="15.95" hidden="1" customHeight="1" x14ac:dyDescent="0.2">
      <c r="C96" s="501" t="s">
        <v>504</v>
      </c>
      <c r="D96" s="560"/>
      <c r="E96" s="560"/>
      <c r="F96" s="560"/>
      <c r="G96" s="578"/>
      <c r="H96" s="790">
        <f>R96</f>
        <v>3</v>
      </c>
      <c r="I96" s="273" t="str">
        <f t="shared" si="12"/>
        <v/>
      </c>
      <c r="K96" s="421" t="b">
        <f>IF(Daten!$M$3=TRUE,TRUE,FALSE)</f>
        <v>0</v>
      </c>
      <c r="M96" s="473" t="str">
        <f t="shared" si="19"/>
        <v>Anzahl der automatischen Erhöhungen der Durchläufe (Iterationen) für die Zielwertsuche</v>
      </c>
      <c r="N96" s="505"/>
      <c r="O96" s="505"/>
      <c r="P96" s="579" t="s">
        <v>80</v>
      </c>
      <c r="Q96" s="460" t="b">
        <v>1</v>
      </c>
      <c r="R96" s="927">
        <v>3</v>
      </c>
      <c r="S96" s="457">
        <f>IF(AND(Q96=TRUE,H96&lt;&gt;R96),1,0)</f>
        <v>0</v>
      </c>
      <c r="T96" s="458" t="b">
        <f t="shared" ref="T96" si="23">IF(S96&gt;0,TRUE,FALSE)</f>
        <v>0</v>
      </c>
      <c r="U96" s="458" t="b">
        <v>0</v>
      </c>
    </row>
    <row r="97" spans="3:21" ht="15.95" hidden="1" customHeight="1" thickBot="1" x14ac:dyDescent="0.25">
      <c r="C97" s="502" t="s">
        <v>455</v>
      </c>
      <c r="D97" s="503"/>
      <c r="E97" s="503"/>
      <c r="F97" s="503"/>
      <c r="G97" s="504"/>
      <c r="H97" s="791">
        <v>0.01</v>
      </c>
      <c r="I97" s="273" t="str">
        <f t="shared" si="12"/>
        <v/>
      </c>
      <c r="K97" s="421" t="b">
        <f>IF(Daten!$M$3=TRUE,TRUE,FALSE)</f>
        <v>0</v>
      </c>
      <c r="M97" s="473" t="str">
        <f t="shared" si="19"/>
        <v>Berechnungsgenauigkeit der Zielwertberechnung</v>
      </c>
      <c r="N97" s="505"/>
      <c r="O97" s="505"/>
      <c r="P97" s="509">
        <v>1E-3</v>
      </c>
      <c r="Q97" s="460" t="b">
        <v>1</v>
      </c>
      <c r="R97" s="928">
        <v>0.01</v>
      </c>
      <c r="S97" s="457">
        <f>IF(AND(Q97=TRUE,H97&lt;&gt;R97),1,0)</f>
        <v>0</v>
      </c>
      <c r="T97" s="458" t="b">
        <f t="shared" ref="T97" si="24">IF(S97&gt;0,TRUE,FALSE)</f>
        <v>0</v>
      </c>
      <c r="U97" s="458" t="b">
        <v>0</v>
      </c>
    </row>
    <row r="98" spans="3:21" ht="15.95" hidden="1" customHeight="1" thickTop="1" x14ac:dyDescent="0.2">
      <c r="C98" s="46"/>
      <c r="D98" s="46"/>
      <c r="E98" s="46"/>
      <c r="F98" s="46"/>
      <c r="G98" s="46"/>
      <c r="H98" s="46"/>
      <c r="K98" s="228" t="b">
        <v>0</v>
      </c>
      <c r="M98" s="494" t="s">
        <v>151</v>
      </c>
      <c r="N98" s="495"/>
      <c r="O98" s="495"/>
      <c r="P98" s="496" t="s">
        <v>80</v>
      </c>
      <c r="Q98" s="496" t="b">
        <f>IF(OR(Daten!$C$5=TRUE,Daten!$H$2=FALSE,$G$1=FALSE),TRUE,FALSE)</f>
        <v>1</v>
      </c>
      <c r="R98" s="496" t="s">
        <v>80</v>
      </c>
      <c r="S98" s="496">
        <f ca="1">SUM(S41:S48,S57:S58,S61:S63,S50:S53,S65:S70,S74:S79,S81:S82,S84,S86:S93)</f>
        <v>0</v>
      </c>
      <c r="T98" s="496">
        <f ca="1">SUMIF(T41:T93,TRUE,S41:S93)</f>
        <v>0</v>
      </c>
      <c r="U98" s="496" t="b">
        <f>IF(Daten!$C$5="",FALSE,IF(AND(Daten!$C$5=TRUE,Daten!$M$3=TRUE),TRUE,FALSE))</f>
        <v>0</v>
      </c>
    </row>
  </sheetData>
  <sheetProtection algorithmName="SHA-512" hashValue="DfkmTk+L5Vzr6Ka71MZfWixfbBQIDAHYwZGQmGoF5AbxoI5sQyKpILqNbazpiEmIAON76UdtNoTymCETLClSyg==" saltValue="3BUT4MjJMiF5R5Z6eaAwiw==" spinCount="100000" sheet="1" objects="1" scenarios="1"/>
  <mergeCells count="19">
    <mergeCell ref="C74:D76"/>
    <mergeCell ref="M74:N76"/>
    <mergeCell ref="M77:N79"/>
    <mergeCell ref="C88:D90"/>
    <mergeCell ref="M86:N87"/>
    <mergeCell ref="M88:N90"/>
    <mergeCell ref="C86:D87"/>
    <mergeCell ref="C77:D79"/>
    <mergeCell ref="B1:C1"/>
    <mergeCell ref="E1:F1"/>
    <mergeCell ref="M65:N68"/>
    <mergeCell ref="C69:G69"/>
    <mergeCell ref="M38:U38"/>
    <mergeCell ref="D9:G9"/>
    <mergeCell ref="C38:H38"/>
    <mergeCell ref="B5:C6"/>
    <mergeCell ref="D5:G6"/>
    <mergeCell ref="H5:I6"/>
    <mergeCell ref="C65:D68"/>
  </mergeCells>
  <conditionalFormatting sqref="C83:H84">
    <cfRule type="expression" dxfId="6" priority="26">
      <formula>$O$6=FALSE</formula>
    </cfRule>
  </conditionalFormatting>
  <conditionalFormatting sqref="E81 H40:H97">
    <cfRule type="expression" dxfId="5" priority="636">
      <formula>AND($U$98=TRUE,$U40=TRUE)</formula>
    </cfRule>
  </conditionalFormatting>
  <conditionalFormatting sqref="B11:I35">
    <cfRule type="expression" dxfId="4" priority="1">
      <formula>$M11=TRUE</formula>
    </cfRule>
  </conditionalFormatting>
  <dataValidations count="5">
    <dataValidation type="list" allowBlank="1" showInputMessage="1" showErrorMessage="1" sqref="U86:U93 U74:U79 U95:U97 U40:U55 U84 U81:U82 U61:U63 D1 G1 I1 U65:U72 H40 U57:U59 H72">
      <formula1>"WAHR,FALSCH"</formula1>
    </dataValidation>
    <dataValidation type="whole" allowBlank="1" showInputMessage="1" showErrorMessage="1" sqref="H95">
      <formula1>100</formula1>
      <formula2>1000</formula2>
    </dataValidation>
    <dataValidation type="decimal" allowBlank="1" showInputMessage="1" showErrorMessage="1" sqref="H97">
      <formula1>0.001</formula1>
      <formula2>10</formula2>
    </dataValidation>
    <dataValidation type="whole" allowBlank="1" showInputMessage="1" showErrorMessage="1" sqref="H96">
      <formula1>0</formula1>
      <formula2>5</formula2>
    </dataValidation>
    <dataValidation type="decimal" allowBlank="1" showInputMessage="1" showErrorMessage="1" sqref="H92">
      <formula1>0</formula1>
      <formula2>10</formula2>
    </dataValidation>
  </dataValidations>
  <printOptions horizontalCentered="1"/>
  <pageMargins left="0.78740157480314965" right="0.39370078740157483" top="0.59055118110236227" bottom="0.39370078740157483" header="0.19685039370078741" footer="0.19685039370078741"/>
  <pageSetup paperSize="9" scale="71" fitToHeight="0" orientation="portrait" r:id="rId1"/>
  <headerFooter alignWithMargins="0">
    <oddFooter>&amp;L&amp;8
&amp;C&amp;8Seite &amp;P von &amp;N</oddFooter>
  </headerFooter>
  <customProperties>
    <customPr name="_pios_id" r:id="rId2"/>
  </customProperties>
  <drawing r:id="rId3"/>
  <legacyDrawing r:id="rId4"/>
  <controls>
    <mc:AlternateContent xmlns:mc="http://schemas.openxmlformats.org/markup-compatibility/2006">
      <mc:Choice Requires="x14">
        <control shapeId="8213" r:id="rId5" name="cmdResetDefaults">
          <controlPr defaultSize="0" print="0" autoFill="0" autoLine="0" r:id="rId6">
            <anchor moveWithCells="1">
              <from>
                <xdr:col>7</xdr:col>
                <xdr:colOff>733425</xdr:colOff>
                <xdr:row>37</xdr:row>
                <xdr:rowOff>190500</xdr:rowOff>
              </from>
              <to>
                <xdr:col>7</xdr:col>
                <xdr:colOff>981075</xdr:colOff>
                <xdr:row>37</xdr:row>
                <xdr:rowOff>438150</xdr:rowOff>
              </to>
            </anchor>
          </controlPr>
        </control>
      </mc:Choice>
      <mc:Fallback>
        <control shapeId="8213" r:id="rId5" name="cmdResetDefaults"/>
      </mc:Fallback>
    </mc:AlternateContent>
    <mc:AlternateContent xmlns:mc="http://schemas.openxmlformats.org/markup-compatibility/2006">
      <mc:Choice Requires="x14">
        <control shapeId="8201" r:id="rId7" name="cmdDatenpflege">
          <controlPr defaultSize="0" print="0" autoLine="0" r:id="rId8">
            <anchor moveWithCells="1">
              <from>
                <xdr:col>3</xdr:col>
                <xdr:colOff>600075</xdr:colOff>
                <xdr:row>4</xdr:row>
                <xdr:rowOff>57150</xdr:rowOff>
              </from>
              <to>
                <xdr:col>3</xdr:col>
                <xdr:colOff>847725</xdr:colOff>
                <xdr:row>5</xdr:row>
                <xdr:rowOff>114300</xdr:rowOff>
              </to>
            </anchor>
          </controlPr>
        </control>
      </mc:Choice>
      <mc:Fallback>
        <control shapeId="8201" r:id="rId7" name="cmdDatenpflege"/>
      </mc:Fallback>
    </mc:AlternateContent>
    <mc:AlternateContent xmlns:mc="http://schemas.openxmlformats.org/markup-compatibility/2006">
      <mc:Choice Requires="x14">
        <control shapeId="8200" r:id="rId9" name="cmdInfo">
          <controlPr defaultSize="0" print="0" autoLine="0" r:id="rId10">
            <anchor moveWithCells="1">
              <from>
                <xdr:col>2</xdr:col>
                <xdr:colOff>571500</xdr:colOff>
                <xdr:row>4</xdr:row>
                <xdr:rowOff>57150</xdr:rowOff>
              </from>
              <to>
                <xdr:col>2</xdr:col>
                <xdr:colOff>819150</xdr:colOff>
                <xdr:row>5</xdr:row>
                <xdr:rowOff>114300</xdr:rowOff>
              </to>
            </anchor>
          </controlPr>
        </control>
      </mc:Choice>
      <mc:Fallback>
        <control shapeId="8200" r:id="rId9" name="cmdInfo"/>
      </mc:Fallback>
    </mc:AlternateContent>
    <mc:AlternateContent xmlns:mc="http://schemas.openxmlformats.org/markup-compatibility/2006">
      <mc:Choice Requires="x14">
        <control shapeId="8199" r:id="rId11" name="cmdBerechnung">
          <controlPr defaultSize="0" print="0" autoLine="0" r:id="rId12">
            <anchor moveWithCells="1">
              <from>
                <xdr:col>3</xdr:col>
                <xdr:colOff>219075</xdr:colOff>
                <xdr:row>4</xdr:row>
                <xdr:rowOff>57150</xdr:rowOff>
              </from>
              <to>
                <xdr:col>3</xdr:col>
                <xdr:colOff>466725</xdr:colOff>
                <xdr:row>5</xdr:row>
                <xdr:rowOff>114300</xdr:rowOff>
              </to>
            </anchor>
          </controlPr>
        </control>
      </mc:Choice>
      <mc:Fallback>
        <control shapeId="8199" r:id="rId11" name="cmdBerechnung"/>
      </mc:Fallback>
    </mc:AlternateContent>
    <mc:AlternateContent xmlns:mc="http://schemas.openxmlformats.org/markup-compatibility/2006">
      <mc:Choice Requires="x14">
        <control shapeId="8198" r:id="rId13" name="cmdProg_Versionen">
          <controlPr defaultSize="0" print="0" autoLine="0" r:id="rId14">
            <anchor moveWithCells="1">
              <from>
                <xdr:col>2</xdr:col>
                <xdr:colOff>952500</xdr:colOff>
                <xdr:row>4</xdr:row>
                <xdr:rowOff>57150</xdr:rowOff>
              </from>
              <to>
                <xdr:col>3</xdr:col>
                <xdr:colOff>85725</xdr:colOff>
                <xdr:row>5</xdr:row>
                <xdr:rowOff>114300</xdr:rowOff>
              </to>
            </anchor>
          </controlPr>
        </control>
      </mc:Choice>
      <mc:Fallback>
        <control shapeId="8198" r:id="rId13" name="cmdProg_Versionen"/>
      </mc:Fallback>
    </mc:AlternateContent>
    <mc:AlternateContent xmlns:mc="http://schemas.openxmlformats.org/markup-compatibility/2006">
      <mc:Choice Requires="x14">
        <control shapeId="8197" r:id="rId15" name="cmdHome">
          <controlPr defaultSize="0" print="0" autoLine="0" r:id="rId16">
            <anchor moveWithCells="1">
              <from>
                <xdr:col>2</xdr:col>
                <xdr:colOff>190500</xdr:colOff>
                <xdr:row>4</xdr:row>
                <xdr:rowOff>57150</xdr:rowOff>
              </from>
              <to>
                <xdr:col>2</xdr:col>
                <xdr:colOff>438150</xdr:colOff>
                <xdr:row>5</xdr:row>
                <xdr:rowOff>114300</xdr:rowOff>
              </to>
            </anchor>
          </controlPr>
        </control>
      </mc:Choice>
      <mc:Fallback>
        <control shapeId="8197" r:id="rId15" name="cmdHome"/>
      </mc:Fallback>
    </mc:AlternateContent>
    <mc:AlternateContent xmlns:mc="http://schemas.openxmlformats.org/markup-compatibility/2006">
      <mc:Choice Requires="x14">
        <control shapeId="8196" r:id="rId17" name="cmdEntsperren">
          <controlPr defaultSize="0" print="0" autoFill="0" autoLine="0" r:id="rId18">
            <anchor moveWithCells="1">
              <from>
                <xdr:col>2</xdr:col>
                <xdr:colOff>123825</xdr:colOff>
                <xdr:row>37</xdr:row>
                <xdr:rowOff>190500</xdr:rowOff>
              </from>
              <to>
                <xdr:col>2</xdr:col>
                <xdr:colOff>371475</xdr:colOff>
                <xdr:row>37</xdr:row>
                <xdr:rowOff>438150</xdr:rowOff>
              </to>
            </anchor>
          </controlPr>
        </control>
      </mc:Choice>
      <mc:Fallback>
        <control shapeId="8196" r:id="rId17" name="cmdEntsperren"/>
      </mc:Fallback>
    </mc:AlternateContent>
    <mc:AlternateContent xmlns:mc="http://schemas.openxmlformats.org/markup-compatibility/2006">
      <mc:Choice Requires="x14">
        <control shapeId="8195" r:id="rId19" name="cmdNeueGliederungBWK">
          <controlPr defaultSize="0" print="0" autoFill="0" autoLine="0" r:id="rId20">
            <anchor moveWithCells="1">
              <from>
                <xdr:col>1</xdr:col>
                <xdr:colOff>123825</xdr:colOff>
                <xdr:row>8</xdr:row>
                <xdr:rowOff>190500</xdr:rowOff>
              </from>
              <to>
                <xdr:col>2</xdr:col>
                <xdr:colOff>0</xdr:colOff>
                <xdr:row>8</xdr:row>
                <xdr:rowOff>438150</xdr:rowOff>
              </to>
            </anchor>
          </controlPr>
        </control>
      </mc:Choice>
      <mc:Fallback>
        <control shapeId="8195" r:id="rId19" name="cmdNeueGliederungBWK"/>
      </mc:Fallback>
    </mc:AlternateContent>
    <mc:AlternateContent xmlns:mc="http://schemas.openxmlformats.org/markup-compatibility/2006">
      <mc:Choice Requires="x14">
        <control shapeId="8194" r:id="rId21" name="cmdNeuerEintragBWK">
          <controlPr defaultSize="0" print="0" autoFill="0" autoLine="0" r:id="rId22">
            <anchor moveWithCells="1">
              <from>
                <xdr:col>2</xdr:col>
                <xdr:colOff>190500</xdr:colOff>
                <xdr:row>8</xdr:row>
                <xdr:rowOff>190500</xdr:rowOff>
              </from>
              <to>
                <xdr:col>3</xdr:col>
                <xdr:colOff>28575</xdr:colOff>
                <xdr:row>8</xdr:row>
                <xdr:rowOff>438150</xdr:rowOff>
              </to>
            </anchor>
          </controlPr>
        </control>
      </mc:Choice>
      <mc:Fallback>
        <control shapeId="8194" r:id="rId21" name="cmdNeuerEintragBWK"/>
      </mc:Fallback>
    </mc:AlternateContent>
    <mc:AlternateContent xmlns:mc="http://schemas.openxmlformats.org/markup-compatibility/2006">
      <mc:Choice Requires="x14">
        <control shapeId="8193" r:id="rId23" name="cmdSichern">
          <controlPr defaultSize="0" print="0" autoLine="0" r:id="rId24">
            <anchor moveWithCells="1">
              <from>
                <xdr:col>9</xdr:col>
                <xdr:colOff>0</xdr:colOff>
                <xdr:row>4</xdr:row>
                <xdr:rowOff>57150</xdr:rowOff>
              </from>
              <to>
                <xdr:col>24</xdr:col>
                <xdr:colOff>647700</xdr:colOff>
                <xdr:row>5</xdr:row>
                <xdr:rowOff>114300</xdr:rowOff>
              </to>
            </anchor>
          </controlPr>
        </control>
      </mc:Choice>
      <mc:Fallback>
        <control shapeId="8193" r:id="rId23" name="cmdSichern"/>
      </mc:Fallback>
    </mc:AlternateContent>
  </controls>
  <extLst>
    <ext xmlns:x14="http://schemas.microsoft.com/office/spreadsheetml/2009/9/main" uri="{78C0D931-6437-407d-A8EE-F0AAD7539E65}">
      <x14:conditionalFormattings>
        <x14:conditionalFormatting xmlns:xm="http://schemas.microsoft.com/office/excel/2006/main">
          <x14:cfRule type="expression" priority="2" id="{2A5F09E3-206D-4125-AC69-9FA878BC2387}">
            <xm:f>AND($I$1=TRUE,Daten!$H$2=TRUE,$U40&lt;&gt;"")</xm:f>
            <x14:dxf>
              <fill>
                <patternFill>
                  <bgColor rgb="FFFFF2CC"/>
                </patternFill>
              </fill>
            </x14:dxf>
          </x14:cfRule>
          <x14:cfRule type="expression" priority="19" id="{287B3546-9857-4760-9E98-76D781CE3699}">
            <xm:f>AND(Daten!$H$2=FALSE,$U40&lt;&gt;"")</xm:f>
            <x14:dxf>
              <fill>
                <patternFill>
                  <bgColor rgb="FFFFF2CC"/>
                </patternFill>
              </fill>
            </x14:dxf>
          </x14:cfRule>
          <xm:sqref>E81 H40:H97</xm:sqref>
        </x14:conditionalFormatting>
        <x14:conditionalFormatting xmlns:xm="http://schemas.microsoft.com/office/excel/2006/main">
          <x14:cfRule type="expression" priority="8" id="{EF475593-0AAF-477F-B9C7-115BDEFA0E42}">
            <xm:f>AND(Daten!$H$2=FALSE,$U54&lt;&gt;"")</xm:f>
            <x14:dxf>
              <fill>
                <patternFill>
                  <bgColor rgb="FFFFF2CC"/>
                </patternFill>
              </fill>
            </x14:dxf>
          </x14:cfRule>
          <xm:sqref>H54</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04">
    <pageSetUpPr autoPageBreaks="0" fitToPage="1"/>
  </sheetPr>
  <dimension ref="A1:P110"/>
  <sheetViews>
    <sheetView showGridLines="0" showRowColHeaders="0" zoomScaleNormal="100" workbookViewId="0">
      <pane ySplit="6" topLeftCell="A7" activePane="bottomLeft" state="frozen"/>
      <selection pane="bottomLeft" activeCell="A4" sqref="A4"/>
    </sheetView>
  </sheetViews>
  <sheetFormatPr baseColWidth="10" defaultColWidth="10.25" defaultRowHeight="13.15" customHeight="1" x14ac:dyDescent="0.2"/>
  <cols>
    <col min="1" max="1" width="4.625" style="32" customWidth="1"/>
    <col min="2" max="2" width="11.375" style="35" customWidth="1"/>
    <col min="3" max="3" width="11.375" style="34" customWidth="1"/>
    <col min="4" max="4" width="14.625" style="33" customWidth="1"/>
    <col min="5" max="11" width="13.625" style="32" customWidth="1"/>
    <col min="12" max="12" width="4.625" style="32" customWidth="1"/>
    <col min="13" max="13" width="12.625" style="32" hidden="1" customWidth="1"/>
    <col min="14" max="14" width="4.625" style="32" hidden="1" customWidth="1"/>
    <col min="15" max="15" width="12.625" style="32" hidden="1" customWidth="1"/>
    <col min="16" max="16" width="4.625" style="32" hidden="1" customWidth="1"/>
    <col min="17" max="24" width="10.25" style="32"/>
    <col min="25" max="33" width="10.25" style="32" customWidth="1"/>
    <col min="34" max="40" width="10.25" style="32"/>
    <col min="41" max="46" width="10.25" style="32" customWidth="1"/>
    <col min="47" max="16384" width="10.25" style="32"/>
  </cols>
  <sheetData>
    <row r="1" spans="1:15" s="51" customFormat="1" ht="14.1" hidden="1" customHeight="1" x14ac:dyDescent="0.2">
      <c r="A1" s="294"/>
      <c r="B1" s="1305" t="s">
        <v>150</v>
      </c>
      <c r="C1" s="1305"/>
      <c r="D1" s="296" t="b">
        <v>1</v>
      </c>
      <c r="E1" s="497" t="s">
        <v>80</v>
      </c>
      <c r="F1" s="497" t="s">
        <v>80</v>
      </c>
      <c r="G1" s="497" t="s">
        <v>80</v>
      </c>
      <c r="H1" s="497" t="s">
        <v>80</v>
      </c>
      <c r="I1" s="497" t="s">
        <v>80</v>
      </c>
      <c r="J1" s="497" t="s">
        <v>80</v>
      </c>
      <c r="K1" s="497" t="s">
        <v>80</v>
      </c>
      <c r="M1" s="295" t="b">
        <v>0</v>
      </c>
      <c r="O1" s="295" t="b">
        <v>0</v>
      </c>
    </row>
    <row r="2" spans="1:15" s="51" customFormat="1" ht="14.1" hidden="1" customHeight="1" x14ac:dyDescent="0.2">
      <c r="A2" s="50"/>
      <c r="B2" s="554" t="s">
        <v>80</v>
      </c>
      <c r="C2" s="554" t="s">
        <v>80</v>
      </c>
      <c r="D2" s="554" t="s">
        <v>80</v>
      </c>
      <c r="E2" s="554" t="s">
        <v>80</v>
      </c>
      <c r="F2" s="554" t="s">
        <v>80</v>
      </c>
      <c r="G2" s="554" t="s">
        <v>80</v>
      </c>
      <c r="H2" s="554" t="s">
        <v>80</v>
      </c>
      <c r="I2" s="554" t="s">
        <v>80</v>
      </c>
      <c r="J2" s="554" t="s">
        <v>80</v>
      </c>
      <c r="K2" s="554" t="s">
        <v>80</v>
      </c>
      <c r="M2" s="295" t="b">
        <v>0</v>
      </c>
      <c r="O2" s="295" t="b">
        <v>0</v>
      </c>
    </row>
    <row r="3" spans="1:15" s="51" customFormat="1" ht="14.1" hidden="1" customHeight="1" x14ac:dyDescent="0.2">
      <c r="A3" s="50"/>
      <c r="B3" s="554" t="s">
        <v>80</v>
      </c>
      <c r="C3" s="554" t="s">
        <v>80</v>
      </c>
      <c r="D3" s="554" t="s">
        <v>80</v>
      </c>
      <c r="E3" s="554" t="s">
        <v>80</v>
      </c>
      <c r="F3" s="554" t="s">
        <v>80</v>
      </c>
      <c r="G3" s="554" t="s">
        <v>80</v>
      </c>
      <c r="H3" s="554" t="s">
        <v>80</v>
      </c>
      <c r="I3" s="554" t="s">
        <v>80</v>
      </c>
      <c r="J3" s="554" t="s">
        <v>80</v>
      </c>
      <c r="K3" s="554" t="s">
        <v>80</v>
      </c>
      <c r="M3" s="228" t="b">
        <v>0</v>
      </c>
      <c r="O3" s="295" t="b">
        <v>0</v>
      </c>
    </row>
    <row r="4" spans="1:15" s="47" customFormat="1" ht="18" customHeight="1" thickBot="1" x14ac:dyDescent="0.25">
      <c r="A4" s="50"/>
      <c r="B4" s="49"/>
      <c r="C4" s="48"/>
      <c r="D4" s="85"/>
      <c r="E4" s="85"/>
      <c r="F4" s="85"/>
      <c r="G4" s="85"/>
      <c r="H4" s="85"/>
      <c r="M4" s="228" t="b">
        <v>1</v>
      </c>
      <c r="O4" s="295" t="b">
        <v>0</v>
      </c>
    </row>
    <row r="5" spans="1:15" ht="15" customHeight="1" thickTop="1" x14ac:dyDescent="0.2">
      <c r="B5" s="1306">
        <f ca="1">VLOOKUP(TODAY(),$B$10:$C$109,1)</f>
        <v>45322</v>
      </c>
      <c r="C5" s="1307"/>
      <c r="D5" s="1310" t="s">
        <v>361</v>
      </c>
      <c r="E5" s="1310"/>
      <c r="F5" s="1310"/>
      <c r="G5" s="1310"/>
      <c r="H5" s="1310"/>
      <c r="I5" s="1310"/>
      <c r="J5" s="1312" t="str">
        <f ca="1">"Version: "&amp;VLOOKUP(TODAY(),$B$10:$C$109,2)&amp;" "</f>
        <v xml:space="preserve">Version: 24.03 </v>
      </c>
      <c r="K5" s="1313"/>
      <c r="M5" s="228" t="b">
        <v>1</v>
      </c>
      <c r="O5" s="295" t="b">
        <v>0</v>
      </c>
    </row>
    <row r="6" spans="1:15" ht="15" customHeight="1" thickBot="1" x14ac:dyDescent="0.25">
      <c r="B6" s="1308"/>
      <c r="C6" s="1309"/>
      <c r="D6" s="1311"/>
      <c r="E6" s="1311"/>
      <c r="F6" s="1311"/>
      <c r="G6" s="1311"/>
      <c r="H6" s="1311"/>
      <c r="I6" s="1311"/>
      <c r="J6" s="1314"/>
      <c r="K6" s="1315"/>
      <c r="M6" s="228" t="b">
        <v>1</v>
      </c>
      <c r="O6" s="295" t="b">
        <v>0</v>
      </c>
    </row>
    <row r="7" spans="1:15" ht="12" customHeight="1" thickTop="1" x14ac:dyDescent="0.2">
      <c r="E7" s="46"/>
      <c r="F7" s="46"/>
      <c r="G7" s="46"/>
      <c r="H7" s="46"/>
      <c r="M7" s="228" t="b">
        <v>1</v>
      </c>
      <c r="O7" s="295" t="b">
        <v>0</v>
      </c>
    </row>
    <row r="8" spans="1:15" ht="12" customHeight="1" thickBot="1" x14ac:dyDescent="0.25">
      <c r="B8" s="45"/>
      <c r="C8" s="45"/>
      <c r="D8" s="44"/>
      <c r="E8" s="43"/>
      <c r="F8" s="43"/>
      <c r="G8" s="43"/>
      <c r="H8" s="43"/>
      <c r="I8" s="42"/>
      <c r="J8" s="42"/>
      <c r="K8" s="41"/>
      <c r="M8" s="228" t="b">
        <v>1</v>
      </c>
      <c r="O8" s="295" t="b">
        <v>0</v>
      </c>
    </row>
    <row r="9" spans="1:15" ht="30" customHeight="1" thickTop="1" x14ac:dyDescent="0.2">
      <c r="B9" s="299" t="s">
        <v>149</v>
      </c>
      <c r="C9" s="300" t="s">
        <v>148</v>
      </c>
      <c r="D9" s="301" t="s">
        <v>147</v>
      </c>
      <c r="E9" s="1316"/>
      <c r="F9" s="1317"/>
      <c r="G9" s="302"/>
      <c r="H9" s="302" t="s">
        <v>146</v>
      </c>
      <c r="I9" s="302"/>
      <c r="J9" s="302"/>
      <c r="K9" s="303"/>
      <c r="M9" s="228" t="b">
        <v>1</v>
      </c>
      <c r="O9" s="295" t="b">
        <v>0</v>
      </c>
    </row>
    <row r="10" spans="1:15" ht="18" customHeight="1" x14ac:dyDescent="0.2">
      <c r="A10" s="40"/>
      <c r="B10" s="304">
        <v>42500</v>
      </c>
      <c r="C10" s="305" t="s">
        <v>161</v>
      </c>
      <c r="D10" s="829" t="s">
        <v>240</v>
      </c>
      <c r="E10" s="1301" t="s">
        <v>145</v>
      </c>
      <c r="F10" s="1301"/>
      <c r="G10" s="1301"/>
      <c r="H10" s="1301"/>
      <c r="I10" s="1301"/>
      <c r="J10" s="1301"/>
      <c r="K10" s="1302"/>
      <c r="M10" s="421" t="b">
        <f>IF(B10="",FALSE,TRUE)</f>
        <v>1</v>
      </c>
      <c r="O10" s="831" t="b">
        <f ca="1">IF(AND(B10&lt;&gt;"",B10&lt;=Daten!$O$5,OR(B11="",B11&gt;Daten!$O$5)),TRUE,FALSE)</f>
        <v>0</v>
      </c>
    </row>
    <row r="11" spans="1:15" ht="18" customHeight="1" x14ac:dyDescent="0.2">
      <c r="A11" s="40"/>
      <c r="B11" s="304">
        <v>42573</v>
      </c>
      <c r="C11" s="305" t="s">
        <v>162</v>
      </c>
      <c r="D11" s="829" t="s">
        <v>143</v>
      </c>
      <c r="E11" s="1318" t="s">
        <v>163</v>
      </c>
      <c r="F11" s="1319"/>
      <c r="G11" s="1319"/>
      <c r="H11" s="1319"/>
      <c r="I11" s="1319"/>
      <c r="J11" s="1319"/>
      <c r="K11" s="1320"/>
      <c r="M11" s="421" t="b">
        <f t="shared" ref="M11:M74" si="0">IF(B11="",FALSE,TRUE)</f>
        <v>1</v>
      </c>
      <c r="O11" s="831" t="b">
        <f ca="1">IF(AND(B11&lt;&gt;"",B11&lt;=Daten!$O$5,OR(B12="",B12&gt;Daten!$O$5)),TRUE,FALSE)</f>
        <v>0</v>
      </c>
    </row>
    <row r="12" spans="1:15" ht="18" customHeight="1" x14ac:dyDescent="0.2">
      <c r="A12" s="40"/>
      <c r="B12" s="304">
        <v>42594</v>
      </c>
      <c r="C12" s="305" t="s">
        <v>162</v>
      </c>
      <c r="D12" s="829" t="s">
        <v>22</v>
      </c>
      <c r="E12" s="1301" t="s">
        <v>164</v>
      </c>
      <c r="F12" s="1301"/>
      <c r="G12" s="1301"/>
      <c r="H12" s="1301"/>
      <c r="I12" s="1301"/>
      <c r="J12" s="1301"/>
      <c r="K12" s="1302"/>
      <c r="M12" s="421" t="b">
        <f t="shared" si="0"/>
        <v>1</v>
      </c>
      <c r="O12" s="831" t="b">
        <f ca="1">IF(AND(B12&lt;&gt;"",B12&lt;=Daten!$O$5,OR(B13="",B13&gt;Daten!$O$5)),TRUE,FALSE)</f>
        <v>0</v>
      </c>
    </row>
    <row r="13" spans="1:15" ht="18" customHeight="1" x14ac:dyDescent="0.2">
      <c r="A13" s="40"/>
      <c r="B13" s="304">
        <v>42642</v>
      </c>
      <c r="C13" s="305" t="s">
        <v>165</v>
      </c>
      <c r="D13" s="829" t="s">
        <v>140</v>
      </c>
      <c r="E13" s="1301" t="s">
        <v>166</v>
      </c>
      <c r="F13" s="1301"/>
      <c r="G13" s="1301"/>
      <c r="H13" s="1301"/>
      <c r="I13" s="1301"/>
      <c r="J13" s="1301"/>
      <c r="K13" s="1302"/>
      <c r="M13" s="421" t="b">
        <f t="shared" si="0"/>
        <v>1</v>
      </c>
      <c r="O13" s="831" t="b">
        <f ca="1">IF(AND(B13&lt;&gt;"",B13&lt;=Daten!$O$5,OR(B14="",B14&gt;Daten!$O$5)),TRUE,FALSE)</f>
        <v>0</v>
      </c>
    </row>
    <row r="14" spans="1:15" ht="18" customHeight="1" x14ac:dyDescent="0.2">
      <c r="A14" s="40"/>
      <c r="B14" s="304">
        <v>42660</v>
      </c>
      <c r="C14" s="305" t="s">
        <v>167</v>
      </c>
      <c r="D14" s="829" t="s">
        <v>140</v>
      </c>
      <c r="E14" s="1301" t="s">
        <v>168</v>
      </c>
      <c r="F14" s="1301"/>
      <c r="G14" s="1301"/>
      <c r="H14" s="1301"/>
      <c r="I14" s="1301"/>
      <c r="J14" s="1301"/>
      <c r="K14" s="1302"/>
      <c r="M14" s="421" t="b">
        <f t="shared" si="0"/>
        <v>1</v>
      </c>
      <c r="O14" s="831" t="b">
        <f ca="1">IF(AND(B14&lt;&gt;"",B14&lt;=Daten!$O$5,OR(B15="",B15&gt;Daten!$O$5)),TRUE,FALSE)</f>
        <v>0</v>
      </c>
    </row>
    <row r="15" spans="1:15" ht="18" customHeight="1" x14ac:dyDescent="0.2">
      <c r="A15" s="40"/>
      <c r="B15" s="304">
        <v>42719</v>
      </c>
      <c r="C15" s="305" t="s">
        <v>169</v>
      </c>
      <c r="D15" s="829" t="s">
        <v>22</v>
      </c>
      <c r="E15" s="1301" t="s">
        <v>170</v>
      </c>
      <c r="F15" s="1301"/>
      <c r="G15" s="1301"/>
      <c r="H15" s="1301"/>
      <c r="I15" s="1301"/>
      <c r="J15" s="1301"/>
      <c r="K15" s="1302"/>
      <c r="M15" s="421" t="b">
        <f t="shared" si="0"/>
        <v>1</v>
      </c>
      <c r="O15" s="831" t="b">
        <f ca="1">IF(AND(B15&lt;&gt;"",B15&lt;=Daten!$O$5,OR(B16="",B16&gt;Daten!$O$5)),TRUE,FALSE)</f>
        <v>0</v>
      </c>
    </row>
    <row r="16" spans="1:15" ht="78" customHeight="1" x14ac:dyDescent="0.2">
      <c r="A16" s="40"/>
      <c r="B16" s="304">
        <v>42823</v>
      </c>
      <c r="C16" s="305" t="s">
        <v>179</v>
      </c>
      <c r="D16" s="829" t="s">
        <v>176</v>
      </c>
      <c r="E16" s="1301" t="s">
        <v>177</v>
      </c>
      <c r="F16" s="1301"/>
      <c r="G16" s="1301"/>
      <c r="H16" s="1301"/>
      <c r="I16" s="1301"/>
      <c r="J16" s="1301"/>
      <c r="K16" s="1302"/>
      <c r="M16" s="421" t="b">
        <f t="shared" si="0"/>
        <v>1</v>
      </c>
      <c r="O16" s="831" t="b">
        <f ca="1">IF(AND(B16&lt;&gt;"",B16&lt;=Daten!$O$5,OR(B17="",B17&gt;Daten!$O$5)),TRUE,FALSE)</f>
        <v>0</v>
      </c>
    </row>
    <row r="17" spans="1:15" ht="18" customHeight="1" x14ac:dyDescent="0.2">
      <c r="A17" s="40"/>
      <c r="B17" s="304">
        <v>42990</v>
      </c>
      <c r="C17" s="305" t="s">
        <v>182</v>
      </c>
      <c r="D17" s="829" t="s">
        <v>140</v>
      </c>
      <c r="E17" s="1301" t="s">
        <v>183</v>
      </c>
      <c r="F17" s="1301"/>
      <c r="G17" s="1301"/>
      <c r="H17" s="1301"/>
      <c r="I17" s="1301"/>
      <c r="J17" s="1301"/>
      <c r="K17" s="1302"/>
      <c r="M17" s="421" t="b">
        <f t="shared" si="0"/>
        <v>1</v>
      </c>
      <c r="O17" s="831" t="b">
        <f ca="1">IF(AND(B17&lt;&gt;"",B17&lt;=Daten!$O$5,OR(B18="",B18&gt;Daten!$O$5)),TRUE,FALSE)</f>
        <v>0</v>
      </c>
    </row>
    <row r="18" spans="1:15" ht="18" customHeight="1" x14ac:dyDescent="0.2">
      <c r="A18" s="40"/>
      <c r="B18" s="304">
        <v>43033</v>
      </c>
      <c r="C18" s="305" t="s">
        <v>184</v>
      </c>
      <c r="D18" s="829" t="s">
        <v>185</v>
      </c>
      <c r="E18" s="1301" t="s">
        <v>186</v>
      </c>
      <c r="F18" s="1301"/>
      <c r="G18" s="1301"/>
      <c r="H18" s="1301"/>
      <c r="I18" s="1301"/>
      <c r="J18" s="1301"/>
      <c r="K18" s="1302"/>
      <c r="M18" s="421" t="b">
        <f t="shared" si="0"/>
        <v>1</v>
      </c>
      <c r="O18" s="831" t="b">
        <f ca="1">IF(AND(B18&lt;&gt;"",B18&lt;=Daten!$O$5,OR(B19="",B19&gt;Daten!$O$5)),TRUE,FALSE)</f>
        <v>0</v>
      </c>
    </row>
    <row r="19" spans="1:15" ht="18" customHeight="1" x14ac:dyDescent="0.2">
      <c r="A19" s="40"/>
      <c r="B19" s="304">
        <v>43305</v>
      </c>
      <c r="C19" s="305" t="s">
        <v>187</v>
      </c>
      <c r="D19" s="829" t="s">
        <v>22</v>
      </c>
      <c r="E19" s="1301" t="s">
        <v>188</v>
      </c>
      <c r="F19" s="1301"/>
      <c r="G19" s="1301"/>
      <c r="H19" s="1301"/>
      <c r="I19" s="1301"/>
      <c r="J19" s="1301"/>
      <c r="K19" s="1302"/>
      <c r="M19" s="421" t="b">
        <f t="shared" si="0"/>
        <v>1</v>
      </c>
      <c r="O19" s="831" t="b">
        <f ca="1">IF(AND(B19&lt;&gt;"",B19&lt;=Daten!$O$5,OR(B20="",B20&gt;Daten!$O$5)),TRUE,FALSE)</f>
        <v>0</v>
      </c>
    </row>
    <row r="20" spans="1:15" ht="18" customHeight="1" x14ac:dyDescent="0.2">
      <c r="A20" s="40"/>
      <c r="B20" s="304">
        <v>43349</v>
      </c>
      <c r="C20" s="305" t="s">
        <v>189</v>
      </c>
      <c r="D20" s="829" t="s">
        <v>193</v>
      </c>
      <c r="E20" s="1301" t="s">
        <v>194</v>
      </c>
      <c r="F20" s="1301"/>
      <c r="G20" s="1301"/>
      <c r="H20" s="1301"/>
      <c r="I20" s="1301"/>
      <c r="J20" s="1301"/>
      <c r="K20" s="1302"/>
      <c r="M20" s="421" t="b">
        <f t="shared" si="0"/>
        <v>1</v>
      </c>
      <c r="O20" s="831" t="b">
        <f ca="1">IF(AND(B20&lt;&gt;"",B20&lt;=Daten!$O$5,OR(B21="",B21&gt;Daten!$O$5)),TRUE,FALSE)</f>
        <v>0</v>
      </c>
    </row>
    <row r="21" spans="1:15" ht="18" customHeight="1" x14ac:dyDescent="0.2">
      <c r="A21" s="40"/>
      <c r="B21" s="304">
        <v>43439</v>
      </c>
      <c r="C21" s="305" t="s">
        <v>197</v>
      </c>
      <c r="D21" s="829" t="s">
        <v>140</v>
      </c>
      <c r="E21" s="1301" t="s">
        <v>198</v>
      </c>
      <c r="F21" s="1301"/>
      <c r="G21" s="1301"/>
      <c r="H21" s="1301"/>
      <c r="I21" s="1301"/>
      <c r="J21" s="1301"/>
      <c r="K21" s="1302"/>
      <c r="M21" s="421" t="b">
        <f t="shared" si="0"/>
        <v>1</v>
      </c>
      <c r="O21" s="831" t="b">
        <f ca="1">IF(AND(B21&lt;&gt;"",B21&lt;=Daten!$O$5,OR(B22="",B22&gt;Daten!$O$5)),TRUE,FALSE)</f>
        <v>0</v>
      </c>
    </row>
    <row r="22" spans="1:15" ht="18" customHeight="1" x14ac:dyDescent="0.2">
      <c r="A22" s="40"/>
      <c r="B22" s="304">
        <v>43559</v>
      </c>
      <c r="C22" s="305" t="s">
        <v>199</v>
      </c>
      <c r="D22" s="829" t="s">
        <v>185</v>
      </c>
      <c r="E22" s="1301" t="s">
        <v>200</v>
      </c>
      <c r="F22" s="1301"/>
      <c r="G22" s="1301"/>
      <c r="H22" s="1301"/>
      <c r="I22" s="1301"/>
      <c r="J22" s="1301"/>
      <c r="K22" s="1302"/>
      <c r="M22" s="421" t="b">
        <f t="shared" si="0"/>
        <v>1</v>
      </c>
      <c r="O22" s="831" t="b">
        <f ca="1">IF(AND(B22&lt;&gt;"",B22&lt;=Daten!$O$5,OR(B23="",B23&gt;Daten!$O$5)),TRUE,FALSE)</f>
        <v>0</v>
      </c>
    </row>
    <row r="23" spans="1:15" ht="30" customHeight="1" x14ac:dyDescent="0.2">
      <c r="A23" s="40"/>
      <c r="B23" s="304">
        <v>43684</v>
      </c>
      <c r="C23" s="305" t="s">
        <v>201</v>
      </c>
      <c r="D23" s="829" t="s">
        <v>202</v>
      </c>
      <c r="E23" s="1301" t="s">
        <v>203</v>
      </c>
      <c r="F23" s="1301"/>
      <c r="G23" s="1301"/>
      <c r="H23" s="1301"/>
      <c r="I23" s="1301"/>
      <c r="J23" s="1301"/>
      <c r="K23" s="1302"/>
      <c r="M23" s="421" t="b">
        <f t="shared" si="0"/>
        <v>1</v>
      </c>
      <c r="O23" s="831" t="b">
        <f ca="1">IF(AND(B23&lt;&gt;"",B23&lt;=Daten!$O$5,OR(B24="",B24&gt;Daten!$O$5)),TRUE,FALSE)</f>
        <v>0</v>
      </c>
    </row>
    <row r="24" spans="1:15" ht="45" customHeight="1" x14ac:dyDescent="0.2">
      <c r="A24" s="40"/>
      <c r="B24" s="304">
        <v>43794</v>
      </c>
      <c r="C24" s="305" t="s">
        <v>204</v>
      </c>
      <c r="D24" s="829" t="s">
        <v>202</v>
      </c>
      <c r="E24" s="1301" t="s">
        <v>210</v>
      </c>
      <c r="F24" s="1301"/>
      <c r="G24" s="1301"/>
      <c r="H24" s="1301"/>
      <c r="I24" s="1301"/>
      <c r="J24" s="1301"/>
      <c r="K24" s="1302"/>
      <c r="M24" s="421" t="b">
        <f t="shared" si="0"/>
        <v>1</v>
      </c>
      <c r="O24" s="831" t="b">
        <f ca="1">IF(AND(B24&lt;&gt;"",B24&lt;=Daten!$O$5,OR(B25="",B25&gt;Daten!$O$5)),TRUE,FALSE)</f>
        <v>0</v>
      </c>
    </row>
    <row r="25" spans="1:15" ht="30" customHeight="1" x14ac:dyDescent="0.2">
      <c r="A25" s="40"/>
      <c r="B25" s="304">
        <v>43797</v>
      </c>
      <c r="C25" s="305" t="s">
        <v>213</v>
      </c>
      <c r="D25" s="829" t="s">
        <v>140</v>
      </c>
      <c r="E25" s="1301" t="s">
        <v>218</v>
      </c>
      <c r="F25" s="1301"/>
      <c r="G25" s="1301"/>
      <c r="H25" s="1301"/>
      <c r="I25" s="1301"/>
      <c r="J25" s="1301"/>
      <c r="K25" s="1302"/>
      <c r="M25" s="421" t="b">
        <f t="shared" si="0"/>
        <v>1</v>
      </c>
      <c r="O25" s="831" t="b">
        <f ca="1">IF(AND(B25&lt;&gt;"",B25&lt;=Daten!$O$5,OR(B26="",B26&gt;Daten!$O$5)),TRUE,FALSE)</f>
        <v>0</v>
      </c>
    </row>
    <row r="26" spans="1:15" ht="18" customHeight="1" x14ac:dyDescent="0.2">
      <c r="B26" s="304">
        <v>43950</v>
      </c>
      <c r="C26" s="305" t="s">
        <v>219</v>
      </c>
      <c r="D26" s="829" t="s">
        <v>140</v>
      </c>
      <c r="E26" s="1301" t="s">
        <v>220</v>
      </c>
      <c r="F26" s="1301"/>
      <c r="G26" s="1301"/>
      <c r="H26" s="1301"/>
      <c r="I26" s="1301"/>
      <c r="J26" s="1301"/>
      <c r="K26" s="1302"/>
      <c r="M26" s="421" t="b">
        <f t="shared" si="0"/>
        <v>1</v>
      </c>
      <c r="O26" s="831" t="b">
        <f ca="1">IF(AND(B26&lt;&gt;"",B26&lt;=Daten!$O$5,OR(B27="",B27&gt;Daten!$O$5)),TRUE,FALSE)</f>
        <v>0</v>
      </c>
    </row>
    <row r="27" spans="1:15" ht="32.1" customHeight="1" x14ac:dyDescent="0.2">
      <c r="B27" s="304">
        <v>44390</v>
      </c>
      <c r="C27" s="305" t="s">
        <v>222</v>
      </c>
      <c r="D27" s="829" t="s">
        <v>223</v>
      </c>
      <c r="E27" s="1301" t="s">
        <v>224</v>
      </c>
      <c r="F27" s="1301"/>
      <c r="G27" s="1301"/>
      <c r="H27" s="1301"/>
      <c r="I27" s="1301"/>
      <c r="J27" s="1301"/>
      <c r="K27" s="1302"/>
      <c r="M27" s="421" t="b">
        <f t="shared" si="0"/>
        <v>1</v>
      </c>
      <c r="O27" s="831" t="b">
        <f ca="1">IF(AND(B27&lt;&gt;"",B27&lt;=Daten!$O$5,OR(B28="",B28&gt;Daten!$O$5)),TRUE,FALSE)</f>
        <v>0</v>
      </c>
    </row>
    <row r="28" spans="1:15" ht="114" customHeight="1" x14ac:dyDescent="0.2">
      <c r="B28" s="304">
        <v>44676</v>
      </c>
      <c r="C28" s="305" t="s">
        <v>239</v>
      </c>
      <c r="D28" s="829" t="s">
        <v>240</v>
      </c>
      <c r="E28" s="1301" t="s">
        <v>441</v>
      </c>
      <c r="F28" s="1301"/>
      <c r="G28" s="1301"/>
      <c r="H28" s="1301"/>
      <c r="I28" s="1301"/>
      <c r="J28" s="1301"/>
      <c r="K28" s="1302"/>
      <c r="M28" s="421" t="b">
        <f t="shared" si="0"/>
        <v>1</v>
      </c>
      <c r="O28" s="831" t="b">
        <f ca="1">IF(AND(B28&lt;&gt;"",B28&lt;=Daten!$O$5,OR(B29="",B29&gt;Daten!$O$5)),TRUE,FALSE)</f>
        <v>0</v>
      </c>
    </row>
    <row r="29" spans="1:15" ht="44.1" customHeight="1" x14ac:dyDescent="0.2">
      <c r="B29" s="304">
        <v>44683</v>
      </c>
      <c r="C29" s="305" t="s">
        <v>444</v>
      </c>
      <c r="D29" s="829" t="s">
        <v>240</v>
      </c>
      <c r="E29" s="1301" t="s">
        <v>445</v>
      </c>
      <c r="F29" s="1301"/>
      <c r="G29" s="1301"/>
      <c r="H29" s="1301"/>
      <c r="I29" s="1301"/>
      <c r="J29" s="1301"/>
      <c r="K29" s="1302"/>
      <c r="M29" s="421" t="b">
        <f t="shared" si="0"/>
        <v>1</v>
      </c>
      <c r="O29" s="831" t="b">
        <f ca="1">IF(AND(B29&lt;&gt;"",B29&lt;=Daten!$O$5,OR(B30="",B30&gt;Daten!$O$5)),TRUE,FALSE)</f>
        <v>0</v>
      </c>
    </row>
    <row r="30" spans="1:15" ht="18" customHeight="1" x14ac:dyDescent="0.2">
      <c r="B30" s="304">
        <v>44684</v>
      </c>
      <c r="C30" s="305" t="s">
        <v>446</v>
      </c>
      <c r="D30" s="829" t="s">
        <v>185</v>
      </c>
      <c r="E30" s="1301" t="s">
        <v>447</v>
      </c>
      <c r="F30" s="1301"/>
      <c r="G30" s="1301"/>
      <c r="H30" s="1301"/>
      <c r="I30" s="1301"/>
      <c r="J30" s="1301"/>
      <c r="K30" s="1302"/>
      <c r="M30" s="421" t="b">
        <f t="shared" si="0"/>
        <v>1</v>
      </c>
      <c r="O30" s="831" t="b">
        <f ca="1">IF(AND(B30&lt;&gt;"",B30&lt;=Daten!$O$5,OR(B31="",B31&gt;Daten!$O$5)),TRUE,FALSE)</f>
        <v>0</v>
      </c>
    </row>
    <row r="31" spans="1:15" ht="18" customHeight="1" x14ac:dyDescent="0.2">
      <c r="B31" s="304">
        <v>44690</v>
      </c>
      <c r="C31" s="305" t="s">
        <v>448</v>
      </c>
      <c r="D31" s="829" t="s">
        <v>140</v>
      </c>
      <c r="E31" s="1301" t="s">
        <v>449</v>
      </c>
      <c r="F31" s="1301"/>
      <c r="G31" s="1301"/>
      <c r="H31" s="1301"/>
      <c r="I31" s="1301"/>
      <c r="J31" s="1301"/>
      <c r="K31" s="1302"/>
      <c r="M31" s="421" t="b">
        <f t="shared" si="0"/>
        <v>1</v>
      </c>
      <c r="O31" s="831" t="b">
        <f ca="1">IF(AND(B31&lt;&gt;"",B31&lt;=Daten!$O$5,OR(B32="",B32&gt;Daten!$O$5)),TRUE,FALSE)</f>
        <v>0</v>
      </c>
    </row>
    <row r="32" spans="1:15" ht="126" customHeight="1" x14ac:dyDescent="0.2">
      <c r="B32" s="304">
        <v>44720</v>
      </c>
      <c r="C32" s="305" t="s">
        <v>450</v>
      </c>
      <c r="D32" s="829" t="s">
        <v>240</v>
      </c>
      <c r="E32" s="1301" t="s">
        <v>509</v>
      </c>
      <c r="F32" s="1301"/>
      <c r="G32" s="1301"/>
      <c r="H32" s="1301"/>
      <c r="I32" s="1301"/>
      <c r="J32" s="1301"/>
      <c r="K32" s="1302"/>
      <c r="M32" s="421" t="b">
        <f t="shared" si="0"/>
        <v>1</v>
      </c>
      <c r="O32" s="831" t="b">
        <f ca="1">IF(AND(B32&lt;&gt;"",B32&lt;=Daten!$O$5,OR(B33="",B33&gt;Daten!$O$5)),TRUE,FALSE)</f>
        <v>0</v>
      </c>
    </row>
    <row r="33" spans="2:15" ht="90" customHeight="1" x14ac:dyDescent="0.2">
      <c r="B33" s="304">
        <v>44764</v>
      </c>
      <c r="C33" s="305" t="s">
        <v>568</v>
      </c>
      <c r="D33" s="829" t="s">
        <v>240</v>
      </c>
      <c r="E33" s="1301" t="s">
        <v>670</v>
      </c>
      <c r="F33" s="1301"/>
      <c r="G33" s="1301"/>
      <c r="H33" s="1301"/>
      <c r="I33" s="1301"/>
      <c r="J33" s="1301"/>
      <c r="K33" s="1302"/>
      <c r="M33" s="421" t="b">
        <f t="shared" si="0"/>
        <v>1</v>
      </c>
      <c r="O33" s="831" t="b">
        <f ca="1">IF(AND(B33&lt;&gt;"",B33&lt;=Daten!$O$5,OR(B34="",B34&gt;Daten!$O$5)),TRUE,FALSE)</f>
        <v>0</v>
      </c>
    </row>
    <row r="34" spans="2:15" ht="18" customHeight="1" x14ac:dyDescent="0.2">
      <c r="B34" s="304">
        <v>44788</v>
      </c>
      <c r="C34" s="305" t="s">
        <v>673</v>
      </c>
      <c r="D34" s="829" t="s">
        <v>140</v>
      </c>
      <c r="E34" s="1301" t="s">
        <v>675</v>
      </c>
      <c r="F34" s="1301"/>
      <c r="G34" s="1301"/>
      <c r="H34" s="1301"/>
      <c r="I34" s="1301"/>
      <c r="J34" s="1301"/>
      <c r="K34" s="1302"/>
      <c r="M34" s="421" t="b">
        <f t="shared" si="0"/>
        <v>1</v>
      </c>
      <c r="O34" s="831" t="b">
        <f ca="1">IF(AND(B34&lt;&gt;"",B34&lt;=Daten!$O$5,OR(B35="",B35&gt;Daten!$O$5)),TRUE,FALSE)</f>
        <v>0</v>
      </c>
    </row>
    <row r="35" spans="2:15" ht="18" customHeight="1" x14ac:dyDescent="0.2">
      <c r="B35" s="304">
        <v>44841</v>
      </c>
      <c r="C35" s="305" t="s">
        <v>678</v>
      </c>
      <c r="D35" s="829" t="s">
        <v>240</v>
      </c>
      <c r="E35" s="1301" t="s">
        <v>692</v>
      </c>
      <c r="F35" s="1301"/>
      <c r="G35" s="1301"/>
      <c r="H35" s="1301"/>
      <c r="I35" s="1301"/>
      <c r="J35" s="1301"/>
      <c r="K35" s="1302"/>
      <c r="M35" s="421" t="b">
        <f t="shared" si="0"/>
        <v>1</v>
      </c>
      <c r="O35" s="831" t="b">
        <f ca="1">IF(AND(B35&lt;&gt;"",B35&lt;=Daten!$O$5,OR(B36="",B36&gt;Daten!$O$5)),TRUE,FALSE)</f>
        <v>0</v>
      </c>
    </row>
    <row r="36" spans="2:15" ht="69.95" customHeight="1" x14ac:dyDescent="0.2">
      <c r="B36" s="304">
        <v>44902</v>
      </c>
      <c r="C36" s="305" t="s">
        <v>704</v>
      </c>
      <c r="D36" s="829" t="s">
        <v>240</v>
      </c>
      <c r="E36" s="1301" t="s">
        <v>731</v>
      </c>
      <c r="F36" s="1301"/>
      <c r="G36" s="1301"/>
      <c r="H36" s="1301"/>
      <c r="I36" s="1301"/>
      <c r="J36" s="1301"/>
      <c r="K36" s="1302"/>
      <c r="M36" s="421" t="b">
        <f t="shared" si="0"/>
        <v>1</v>
      </c>
      <c r="O36" s="831" t="b">
        <f ca="1">IF(AND(B36&lt;&gt;"",B36&lt;=Daten!$O$5,OR(B37="",B37&gt;Daten!$O$5)),TRUE,FALSE)</f>
        <v>0</v>
      </c>
    </row>
    <row r="37" spans="2:15" ht="92.1" customHeight="1" x14ac:dyDescent="0.2">
      <c r="B37" s="304">
        <v>45083</v>
      </c>
      <c r="C37" s="305" t="s">
        <v>732</v>
      </c>
      <c r="D37" s="829" t="s">
        <v>140</v>
      </c>
      <c r="E37" s="1301" t="s">
        <v>743</v>
      </c>
      <c r="F37" s="1301"/>
      <c r="G37" s="1301"/>
      <c r="H37" s="1301"/>
      <c r="I37" s="1301"/>
      <c r="J37" s="1301"/>
      <c r="K37" s="1302"/>
      <c r="M37" s="421" t="b">
        <f t="shared" si="0"/>
        <v>1</v>
      </c>
      <c r="O37" s="831" t="b">
        <f ca="1">IF(AND(B37&lt;&gt;"",B37&lt;=Daten!$O$5,OR(B38="",B38&gt;Daten!$O$5)),TRUE,FALSE)</f>
        <v>0</v>
      </c>
    </row>
    <row r="38" spans="2:15" ht="18" customHeight="1" x14ac:dyDescent="0.2">
      <c r="B38" s="304">
        <v>45128</v>
      </c>
      <c r="C38" s="305" t="s">
        <v>745</v>
      </c>
      <c r="D38" s="829" t="s">
        <v>240</v>
      </c>
      <c r="E38" s="1301" t="s">
        <v>746</v>
      </c>
      <c r="F38" s="1301"/>
      <c r="G38" s="1301"/>
      <c r="H38" s="1301"/>
      <c r="I38" s="1301"/>
      <c r="J38" s="1301"/>
      <c r="K38" s="1302"/>
      <c r="M38" s="421" t="b">
        <f t="shared" si="0"/>
        <v>1</v>
      </c>
      <c r="O38" s="831" t="b">
        <f ca="1">IF(AND(B38&lt;&gt;"",B38&lt;=Daten!$O$5,OR(B39="",B39&gt;Daten!$O$5)),TRUE,FALSE)</f>
        <v>0</v>
      </c>
    </row>
    <row r="39" spans="2:15" ht="55.15" customHeight="1" x14ac:dyDescent="0.2">
      <c r="B39" s="304">
        <v>45258</v>
      </c>
      <c r="C39" s="305" t="s">
        <v>749</v>
      </c>
      <c r="D39" s="829" t="s">
        <v>240</v>
      </c>
      <c r="E39" s="1301" t="s">
        <v>824</v>
      </c>
      <c r="F39" s="1301"/>
      <c r="G39" s="1301"/>
      <c r="H39" s="1301"/>
      <c r="I39" s="1301"/>
      <c r="J39" s="1301"/>
      <c r="K39" s="1302"/>
      <c r="M39" s="421" t="b">
        <f t="shared" si="0"/>
        <v>1</v>
      </c>
      <c r="O39" s="831" t="b">
        <f ca="1">IF(AND(B39&lt;&gt;"",B39&lt;=Daten!$O$5,OR(B40="",B40&gt;Daten!$O$5)),TRUE,FALSE)</f>
        <v>0</v>
      </c>
    </row>
    <row r="40" spans="2:15" ht="18" customHeight="1" x14ac:dyDescent="0.2">
      <c r="B40" s="304">
        <v>45267</v>
      </c>
      <c r="C40" s="305" t="s">
        <v>822</v>
      </c>
      <c r="D40" s="829" t="s">
        <v>140</v>
      </c>
      <c r="E40" s="1301" t="s">
        <v>823</v>
      </c>
      <c r="F40" s="1301"/>
      <c r="G40" s="1301"/>
      <c r="H40" s="1301"/>
      <c r="I40" s="1301"/>
      <c r="J40" s="1301"/>
      <c r="K40" s="1302"/>
      <c r="M40" s="421" t="b">
        <f t="shared" si="0"/>
        <v>1</v>
      </c>
      <c r="O40" s="831" t="b">
        <f ca="1">IF(AND(B40&lt;&gt;"",B40&lt;=Daten!$O$5,OR(B41="",B41&gt;Daten!$O$5)),TRUE,FALSE)</f>
        <v>0</v>
      </c>
    </row>
    <row r="41" spans="2:15" ht="54.95" customHeight="1" x14ac:dyDescent="0.2">
      <c r="B41" s="304">
        <v>45306</v>
      </c>
      <c r="C41" s="305" t="s">
        <v>826</v>
      </c>
      <c r="D41" s="829" t="s">
        <v>140</v>
      </c>
      <c r="E41" s="1301" t="s">
        <v>842</v>
      </c>
      <c r="F41" s="1301"/>
      <c r="G41" s="1301"/>
      <c r="H41" s="1301"/>
      <c r="I41" s="1301"/>
      <c r="J41" s="1301"/>
      <c r="K41" s="1302"/>
      <c r="M41" s="421" t="b">
        <f t="shared" si="0"/>
        <v>1</v>
      </c>
      <c r="O41" s="831" t="b">
        <f ca="1">IF(AND(B41&lt;&gt;"",B41&lt;=Daten!$O$5,OR(B42="",B42&gt;Daten!$O$5)),TRUE,FALSE)</f>
        <v>0</v>
      </c>
    </row>
    <row r="42" spans="2:15" ht="36" customHeight="1" x14ac:dyDescent="0.2">
      <c r="B42" s="304">
        <v>45308</v>
      </c>
      <c r="C42" s="305" t="s">
        <v>846</v>
      </c>
      <c r="D42" s="829" t="s">
        <v>185</v>
      </c>
      <c r="E42" s="1301" t="s">
        <v>847</v>
      </c>
      <c r="F42" s="1301"/>
      <c r="G42" s="1301"/>
      <c r="H42" s="1301"/>
      <c r="I42" s="1301"/>
      <c r="J42" s="1301"/>
      <c r="K42" s="1302"/>
      <c r="M42" s="421" t="b">
        <f t="shared" si="0"/>
        <v>1</v>
      </c>
      <c r="O42" s="831" t="b">
        <f ca="1">IF(AND(B42&lt;&gt;"",B42&lt;=Daten!$O$5,OR(B43="",B43&gt;Daten!$O$5)),TRUE,FALSE)</f>
        <v>0</v>
      </c>
    </row>
    <row r="43" spans="2:15" ht="36" customHeight="1" thickBot="1" x14ac:dyDescent="0.25">
      <c r="B43" s="304">
        <v>45322</v>
      </c>
      <c r="C43" s="305" t="s">
        <v>848</v>
      </c>
      <c r="D43" s="829" t="s">
        <v>140</v>
      </c>
      <c r="E43" s="1301" t="s">
        <v>849</v>
      </c>
      <c r="F43" s="1301"/>
      <c r="G43" s="1301"/>
      <c r="H43" s="1301"/>
      <c r="I43" s="1301"/>
      <c r="J43" s="1301"/>
      <c r="K43" s="1302"/>
      <c r="M43" s="421" t="b">
        <f t="shared" si="0"/>
        <v>1</v>
      </c>
      <c r="O43" s="831" t="b">
        <f ca="1">IF(AND(B43&lt;&gt;"",B43&lt;=Daten!$O$5,OR(B44="",B44&gt;Daten!$O$5)),TRUE,FALSE)</f>
        <v>1</v>
      </c>
    </row>
    <row r="44" spans="2:15" ht="18" hidden="1" customHeight="1" x14ac:dyDescent="0.2">
      <c r="B44" s="304"/>
      <c r="C44" s="305" t="s">
        <v>144</v>
      </c>
      <c r="D44" s="829"/>
      <c r="E44" s="1301"/>
      <c r="F44" s="1301"/>
      <c r="G44" s="1301"/>
      <c r="H44" s="1301"/>
      <c r="I44" s="1301"/>
      <c r="J44" s="1301"/>
      <c r="K44" s="1302"/>
      <c r="M44" s="421" t="b">
        <f t="shared" si="0"/>
        <v>0</v>
      </c>
      <c r="O44" s="831" t="b">
        <f ca="1">IF(AND(B44&lt;&gt;"",B44&lt;=Daten!$O$5,OR(B45="",B45&gt;Daten!$O$5)),TRUE,FALSE)</f>
        <v>0</v>
      </c>
    </row>
    <row r="45" spans="2:15" ht="18" hidden="1" customHeight="1" x14ac:dyDescent="0.2">
      <c r="B45" s="304"/>
      <c r="C45" s="305" t="s">
        <v>144</v>
      </c>
      <c r="D45" s="829"/>
      <c r="E45" s="1301"/>
      <c r="F45" s="1301"/>
      <c r="G45" s="1301"/>
      <c r="H45" s="1301"/>
      <c r="I45" s="1301"/>
      <c r="J45" s="1301"/>
      <c r="K45" s="1302"/>
      <c r="M45" s="421" t="b">
        <f t="shared" si="0"/>
        <v>0</v>
      </c>
      <c r="O45" s="831" t="b">
        <f ca="1">IF(AND(B45&lt;&gt;"",B45&lt;=Daten!$O$5,OR(B46="",B46&gt;Daten!$O$5)),TRUE,FALSE)</f>
        <v>0</v>
      </c>
    </row>
    <row r="46" spans="2:15" ht="18" hidden="1" customHeight="1" x14ac:dyDescent="0.2">
      <c r="B46" s="304"/>
      <c r="C46" s="305" t="s">
        <v>144</v>
      </c>
      <c r="D46" s="829"/>
      <c r="E46" s="1301"/>
      <c r="F46" s="1301"/>
      <c r="G46" s="1301"/>
      <c r="H46" s="1301"/>
      <c r="I46" s="1301"/>
      <c r="J46" s="1301"/>
      <c r="K46" s="1302"/>
      <c r="M46" s="421" t="b">
        <f t="shared" si="0"/>
        <v>0</v>
      </c>
      <c r="O46" s="831" t="b">
        <f ca="1">IF(AND(B46&lt;&gt;"",B46&lt;=Daten!$O$5,OR(B47="",B47&gt;Daten!$O$5)),TRUE,FALSE)</f>
        <v>0</v>
      </c>
    </row>
    <row r="47" spans="2:15" ht="18" hidden="1" customHeight="1" x14ac:dyDescent="0.2">
      <c r="B47" s="304"/>
      <c r="C47" s="305" t="s">
        <v>144</v>
      </c>
      <c r="D47" s="829"/>
      <c r="E47" s="1301"/>
      <c r="F47" s="1301"/>
      <c r="G47" s="1301"/>
      <c r="H47" s="1301"/>
      <c r="I47" s="1301"/>
      <c r="J47" s="1301"/>
      <c r="K47" s="1302"/>
      <c r="M47" s="421" t="b">
        <f t="shared" si="0"/>
        <v>0</v>
      </c>
      <c r="O47" s="831" t="b">
        <f ca="1">IF(AND(B47&lt;&gt;"",B47&lt;=Daten!$O$5,OR(B48="",B48&gt;Daten!$O$5)),TRUE,FALSE)</f>
        <v>0</v>
      </c>
    </row>
    <row r="48" spans="2:15" ht="18" hidden="1" customHeight="1" x14ac:dyDescent="0.2">
      <c r="B48" s="304"/>
      <c r="C48" s="305" t="s">
        <v>144</v>
      </c>
      <c r="D48" s="829"/>
      <c r="E48" s="1301"/>
      <c r="F48" s="1301"/>
      <c r="G48" s="1301"/>
      <c r="H48" s="1301"/>
      <c r="I48" s="1301"/>
      <c r="J48" s="1301"/>
      <c r="K48" s="1302"/>
      <c r="M48" s="421" t="b">
        <f t="shared" si="0"/>
        <v>0</v>
      </c>
      <c r="O48" s="831" t="b">
        <f ca="1">IF(AND(B48&lt;&gt;"",B48&lt;=Daten!$O$5,OR(B49="",B49&gt;Daten!$O$5)),TRUE,FALSE)</f>
        <v>0</v>
      </c>
    </row>
    <row r="49" spans="2:15" ht="18" hidden="1" customHeight="1" x14ac:dyDescent="0.2">
      <c r="B49" s="304"/>
      <c r="C49" s="305" t="s">
        <v>144</v>
      </c>
      <c r="D49" s="829"/>
      <c r="E49" s="1301"/>
      <c r="F49" s="1301"/>
      <c r="G49" s="1301"/>
      <c r="H49" s="1301"/>
      <c r="I49" s="1301"/>
      <c r="J49" s="1301"/>
      <c r="K49" s="1302"/>
      <c r="M49" s="421" t="b">
        <f t="shared" si="0"/>
        <v>0</v>
      </c>
      <c r="O49" s="831" t="b">
        <f ca="1">IF(AND(B49&lt;&gt;"",B49&lt;=Daten!$O$5,OR(B50="",B50&gt;Daten!$O$5)),TRUE,FALSE)</f>
        <v>0</v>
      </c>
    </row>
    <row r="50" spans="2:15" ht="18" hidden="1" customHeight="1" x14ac:dyDescent="0.2">
      <c r="B50" s="304"/>
      <c r="C50" s="305" t="s">
        <v>144</v>
      </c>
      <c r="D50" s="829"/>
      <c r="E50" s="1301"/>
      <c r="F50" s="1301"/>
      <c r="G50" s="1301"/>
      <c r="H50" s="1301"/>
      <c r="I50" s="1301"/>
      <c r="J50" s="1301"/>
      <c r="K50" s="1302"/>
      <c r="M50" s="421" t="b">
        <f t="shared" si="0"/>
        <v>0</v>
      </c>
      <c r="O50" s="831" t="b">
        <f ca="1">IF(AND(B50&lt;&gt;"",B50&lt;=Daten!$O$5,OR(B51="",B51&gt;Daten!$O$5)),TRUE,FALSE)</f>
        <v>0</v>
      </c>
    </row>
    <row r="51" spans="2:15" ht="18" hidden="1" customHeight="1" x14ac:dyDescent="0.2">
      <c r="B51" s="304"/>
      <c r="C51" s="305" t="s">
        <v>144</v>
      </c>
      <c r="D51" s="829"/>
      <c r="E51" s="1301"/>
      <c r="F51" s="1301"/>
      <c r="G51" s="1301"/>
      <c r="H51" s="1301"/>
      <c r="I51" s="1301"/>
      <c r="J51" s="1301"/>
      <c r="K51" s="1302"/>
      <c r="M51" s="421" t="b">
        <f t="shared" si="0"/>
        <v>0</v>
      </c>
      <c r="O51" s="831" t="b">
        <f ca="1">IF(AND(B51&lt;&gt;"",B51&lt;=Daten!$O$5,OR(B52="",B52&gt;Daten!$O$5)),TRUE,FALSE)</f>
        <v>0</v>
      </c>
    </row>
    <row r="52" spans="2:15" ht="18" hidden="1" customHeight="1" x14ac:dyDescent="0.2">
      <c r="B52" s="304"/>
      <c r="C52" s="305" t="s">
        <v>144</v>
      </c>
      <c r="D52" s="829"/>
      <c r="E52" s="1301"/>
      <c r="F52" s="1301"/>
      <c r="G52" s="1301"/>
      <c r="H52" s="1301"/>
      <c r="I52" s="1301"/>
      <c r="J52" s="1301"/>
      <c r="K52" s="1302"/>
      <c r="M52" s="421" t="b">
        <f t="shared" si="0"/>
        <v>0</v>
      </c>
      <c r="O52" s="831" t="b">
        <f ca="1">IF(AND(B52&lt;&gt;"",B52&lt;=Daten!$O$5,OR(B53="",B53&gt;Daten!$O$5)),TRUE,FALSE)</f>
        <v>0</v>
      </c>
    </row>
    <row r="53" spans="2:15" ht="18" hidden="1" customHeight="1" x14ac:dyDescent="0.2">
      <c r="B53" s="304"/>
      <c r="C53" s="305" t="s">
        <v>144</v>
      </c>
      <c r="D53" s="829"/>
      <c r="E53" s="1301"/>
      <c r="F53" s="1301"/>
      <c r="G53" s="1301"/>
      <c r="H53" s="1301"/>
      <c r="I53" s="1301"/>
      <c r="J53" s="1301"/>
      <c r="K53" s="1302"/>
      <c r="M53" s="421" t="b">
        <f t="shared" si="0"/>
        <v>0</v>
      </c>
      <c r="O53" s="831" t="b">
        <f ca="1">IF(AND(B53&lt;&gt;"",B53&lt;=Daten!$O$5,OR(B54="",B54&gt;Daten!$O$5)),TRUE,FALSE)</f>
        <v>0</v>
      </c>
    </row>
    <row r="54" spans="2:15" ht="18" hidden="1" customHeight="1" x14ac:dyDescent="0.2">
      <c r="B54" s="304"/>
      <c r="C54" s="305" t="s">
        <v>144</v>
      </c>
      <c r="D54" s="829"/>
      <c r="E54" s="1301"/>
      <c r="F54" s="1301"/>
      <c r="G54" s="1301"/>
      <c r="H54" s="1301"/>
      <c r="I54" s="1301"/>
      <c r="J54" s="1301"/>
      <c r="K54" s="1302"/>
      <c r="M54" s="421" t="b">
        <f t="shared" si="0"/>
        <v>0</v>
      </c>
      <c r="O54" s="831" t="b">
        <f ca="1">IF(AND(B54&lt;&gt;"",B54&lt;=Daten!$O$5,OR(B55="",B55&gt;Daten!$O$5)),TRUE,FALSE)</f>
        <v>0</v>
      </c>
    </row>
    <row r="55" spans="2:15" ht="18" hidden="1" customHeight="1" x14ac:dyDescent="0.2">
      <c r="B55" s="304"/>
      <c r="C55" s="305" t="s">
        <v>144</v>
      </c>
      <c r="D55" s="829"/>
      <c r="E55" s="1301"/>
      <c r="F55" s="1301"/>
      <c r="G55" s="1301"/>
      <c r="H55" s="1301"/>
      <c r="I55" s="1301"/>
      <c r="J55" s="1301"/>
      <c r="K55" s="1302"/>
      <c r="M55" s="421" t="b">
        <f t="shared" si="0"/>
        <v>0</v>
      </c>
      <c r="O55" s="831" t="b">
        <f ca="1">IF(AND(B55&lt;&gt;"",B55&lt;=Daten!$O$5,OR(B56="",B56&gt;Daten!$O$5)),TRUE,FALSE)</f>
        <v>0</v>
      </c>
    </row>
    <row r="56" spans="2:15" ht="18" hidden="1" customHeight="1" x14ac:dyDescent="0.2">
      <c r="B56" s="304"/>
      <c r="C56" s="305" t="s">
        <v>144</v>
      </c>
      <c r="D56" s="829"/>
      <c r="E56" s="1301"/>
      <c r="F56" s="1301"/>
      <c r="G56" s="1301"/>
      <c r="H56" s="1301"/>
      <c r="I56" s="1301"/>
      <c r="J56" s="1301"/>
      <c r="K56" s="1302"/>
      <c r="M56" s="421" t="b">
        <f t="shared" si="0"/>
        <v>0</v>
      </c>
      <c r="O56" s="831" t="b">
        <f ca="1">IF(AND(B56&lt;&gt;"",B56&lt;=Daten!$O$5,OR(B57="",B57&gt;Daten!$O$5)),TRUE,FALSE)</f>
        <v>0</v>
      </c>
    </row>
    <row r="57" spans="2:15" ht="18" hidden="1" customHeight="1" x14ac:dyDescent="0.2">
      <c r="B57" s="304"/>
      <c r="C57" s="305" t="s">
        <v>144</v>
      </c>
      <c r="D57" s="829"/>
      <c r="E57" s="1301"/>
      <c r="F57" s="1301"/>
      <c r="G57" s="1301"/>
      <c r="H57" s="1301"/>
      <c r="I57" s="1301"/>
      <c r="J57" s="1301"/>
      <c r="K57" s="1302"/>
      <c r="M57" s="421" t="b">
        <f t="shared" si="0"/>
        <v>0</v>
      </c>
      <c r="O57" s="831" t="b">
        <f ca="1">IF(AND(B57&lt;&gt;"",B57&lt;=Daten!$O$5,OR(B58="",B58&gt;Daten!$O$5)),TRUE,FALSE)</f>
        <v>0</v>
      </c>
    </row>
    <row r="58" spans="2:15" ht="18" hidden="1" customHeight="1" x14ac:dyDescent="0.2">
      <c r="B58" s="304"/>
      <c r="C58" s="305" t="s">
        <v>144</v>
      </c>
      <c r="D58" s="829"/>
      <c r="E58" s="1301"/>
      <c r="F58" s="1301"/>
      <c r="G58" s="1301"/>
      <c r="H58" s="1301"/>
      <c r="I58" s="1301"/>
      <c r="J58" s="1301"/>
      <c r="K58" s="1302"/>
      <c r="M58" s="421" t="b">
        <f t="shared" si="0"/>
        <v>0</v>
      </c>
      <c r="O58" s="831" t="b">
        <f ca="1">IF(AND(B58&lt;&gt;"",B58&lt;=Daten!$O$5,OR(B59="",B59&gt;Daten!$O$5)),TRUE,FALSE)</f>
        <v>0</v>
      </c>
    </row>
    <row r="59" spans="2:15" ht="18" hidden="1" customHeight="1" x14ac:dyDescent="0.2">
      <c r="B59" s="304"/>
      <c r="C59" s="305" t="s">
        <v>144</v>
      </c>
      <c r="D59" s="829"/>
      <c r="E59" s="1301"/>
      <c r="F59" s="1301"/>
      <c r="G59" s="1301"/>
      <c r="H59" s="1301"/>
      <c r="I59" s="1301"/>
      <c r="J59" s="1301"/>
      <c r="K59" s="1302"/>
      <c r="M59" s="421" t="b">
        <f t="shared" si="0"/>
        <v>0</v>
      </c>
      <c r="O59" s="831" t="b">
        <f ca="1">IF(AND(B59&lt;&gt;"",B59&lt;=Daten!$O$5,OR(B60="",B60&gt;Daten!$O$5)),TRUE,FALSE)</f>
        <v>0</v>
      </c>
    </row>
    <row r="60" spans="2:15" ht="18" hidden="1" customHeight="1" x14ac:dyDescent="0.2">
      <c r="B60" s="304"/>
      <c r="C60" s="305" t="s">
        <v>144</v>
      </c>
      <c r="D60" s="829"/>
      <c r="E60" s="1301"/>
      <c r="F60" s="1301"/>
      <c r="G60" s="1301"/>
      <c r="H60" s="1301"/>
      <c r="I60" s="1301"/>
      <c r="J60" s="1301"/>
      <c r="K60" s="1302"/>
      <c r="M60" s="421" t="b">
        <f t="shared" si="0"/>
        <v>0</v>
      </c>
      <c r="O60" s="831" t="b">
        <f ca="1">IF(AND(B60&lt;&gt;"",B60&lt;=Daten!$O$5,OR(B61="",B61&gt;Daten!$O$5)),TRUE,FALSE)</f>
        <v>0</v>
      </c>
    </row>
    <row r="61" spans="2:15" ht="18" hidden="1" customHeight="1" x14ac:dyDescent="0.2">
      <c r="B61" s="304"/>
      <c r="C61" s="305" t="s">
        <v>144</v>
      </c>
      <c r="D61" s="829"/>
      <c r="E61" s="1301"/>
      <c r="F61" s="1301"/>
      <c r="G61" s="1301"/>
      <c r="H61" s="1301"/>
      <c r="I61" s="1301"/>
      <c r="J61" s="1301"/>
      <c r="K61" s="1302"/>
      <c r="M61" s="421" t="b">
        <f t="shared" si="0"/>
        <v>0</v>
      </c>
      <c r="O61" s="831" t="b">
        <f ca="1">IF(AND(B61&lt;&gt;"",B61&lt;=Daten!$O$5,OR(B62="",B62&gt;Daten!$O$5)),TRUE,FALSE)</f>
        <v>0</v>
      </c>
    </row>
    <row r="62" spans="2:15" ht="18" hidden="1" customHeight="1" x14ac:dyDescent="0.2">
      <c r="B62" s="304"/>
      <c r="C62" s="305" t="s">
        <v>144</v>
      </c>
      <c r="D62" s="829"/>
      <c r="E62" s="1301"/>
      <c r="F62" s="1301"/>
      <c r="G62" s="1301"/>
      <c r="H62" s="1301"/>
      <c r="I62" s="1301"/>
      <c r="J62" s="1301"/>
      <c r="K62" s="1302"/>
      <c r="M62" s="421" t="b">
        <f t="shared" si="0"/>
        <v>0</v>
      </c>
      <c r="O62" s="831" t="b">
        <f ca="1">IF(AND(B62&lt;&gt;"",B62&lt;=Daten!$O$5,OR(B63="",B63&gt;Daten!$O$5)),TRUE,FALSE)</f>
        <v>0</v>
      </c>
    </row>
    <row r="63" spans="2:15" ht="18" hidden="1" customHeight="1" x14ac:dyDescent="0.2">
      <c r="B63" s="304"/>
      <c r="C63" s="305" t="s">
        <v>144</v>
      </c>
      <c r="D63" s="829"/>
      <c r="E63" s="1301"/>
      <c r="F63" s="1301"/>
      <c r="G63" s="1301"/>
      <c r="H63" s="1301"/>
      <c r="I63" s="1301"/>
      <c r="J63" s="1301"/>
      <c r="K63" s="1302"/>
      <c r="M63" s="421" t="b">
        <f t="shared" si="0"/>
        <v>0</v>
      </c>
      <c r="O63" s="831" t="b">
        <f ca="1">IF(AND(B63&lt;&gt;"",B63&lt;=Daten!$O$5,OR(B64="",B64&gt;Daten!$O$5)),TRUE,FALSE)</f>
        <v>0</v>
      </c>
    </row>
    <row r="64" spans="2:15" ht="18" hidden="1" customHeight="1" x14ac:dyDescent="0.2">
      <c r="B64" s="304"/>
      <c r="C64" s="305" t="s">
        <v>144</v>
      </c>
      <c r="D64" s="829"/>
      <c r="E64" s="1301"/>
      <c r="F64" s="1301"/>
      <c r="G64" s="1301"/>
      <c r="H64" s="1301"/>
      <c r="I64" s="1301"/>
      <c r="J64" s="1301"/>
      <c r="K64" s="1302"/>
      <c r="M64" s="421" t="b">
        <f t="shared" si="0"/>
        <v>0</v>
      </c>
      <c r="O64" s="831" t="b">
        <f ca="1">IF(AND(B64&lt;&gt;"",B64&lt;=Daten!$O$5,OR(B65="",B65&gt;Daten!$O$5)),TRUE,FALSE)</f>
        <v>0</v>
      </c>
    </row>
    <row r="65" spans="2:15" ht="18" hidden="1" customHeight="1" x14ac:dyDescent="0.2">
      <c r="B65" s="304"/>
      <c r="C65" s="305" t="s">
        <v>144</v>
      </c>
      <c r="D65" s="829"/>
      <c r="E65" s="1301"/>
      <c r="F65" s="1301"/>
      <c r="G65" s="1301"/>
      <c r="H65" s="1301"/>
      <c r="I65" s="1301"/>
      <c r="J65" s="1301"/>
      <c r="K65" s="1302"/>
      <c r="M65" s="421" t="b">
        <f t="shared" si="0"/>
        <v>0</v>
      </c>
      <c r="O65" s="831" t="b">
        <f ca="1">IF(AND(B65&lt;&gt;"",B65&lt;=Daten!$O$5,OR(B66="",B66&gt;Daten!$O$5)),TRUE,FALSE)</f>
        <v>0</v>
      </c>
    </row>
    <row r="66" spans="2:15" ht="18" hidden="1" customHeight="1" x14ac:dyDescent="0.2">
      <c r="B66" s="304"/>
      <c r="C66" s="305" t="s">
        <v>144</v>
      </c>
      <c r="D66" s="829"/>
      <c r="E66" s="1301"/>
      <c r="F66" s="1301"/>
      <c r="G66" s="1301"/>
      <c r="H66" s="1301"/>
      <c r="I66" s="1301"/>
      <c r="J66" s="1301"/>
      <c r="K66" s="1302"/>
      <c r="M66" s="421" t="b">
        <f t="shared" si="0"/>
        <v>0</v>
      </c>
      <c r="O66" s="831" t="b">
        <f ca="1">IF(AND(B66&lt;&gt;"",B66&lt;=Daten!$O$5,OR(B67="",B67&gt;Daten!$O$5)),TRUE,FALSE)</f>
        <v>0</v>
      </c>
    </row>
    <row r="67" spans="2:15" ht="18" hidden="1" customHeight="1" x14ac:dyDescent="0.2">
      <c r="B67" s="304"/>
      <c r="C67" s="305" t="s">
        <v>144</v>
      </c>
      <c r="D67" s="829"/>
      <c r="E67" s="1301"/>
      <c r="F67" s="1301"/>
      <c r="G67" s="1301"/>
      <c r="H67" s="1301"/>
      <c r="I67" s="1301"/>
      <c r="J67" s="1301"/>
      <c r="K67" s="1302"/>
      <c r="M67" s="421" t="b">
        <f t="shared" si="0"/>
        <v>0</v>
      </c>
      <c r="O67" s="831" t="b">
        <f ca="1">IF(AND(B67&lt;&gt;"",B67&lt;=Daten!$O$5,OR(B68="",B68&gt;Daten!$O$5)),TRUE,FALSE)</f>
        <v>0</v>
      </c>
    </row>
    <row r="68" spans="2:15" ht="18" hidden="1" customHeight="1" x14ac:dyDescent="0.2">
      <c r="B68" s="304"/>
      <c r="C68" s="305" t="s">
        <v>144</v>
      </c>
      <c r="D68" s="829"/>
      <c r="E68" s="1301"/>
      <c r="F68" s="1301"/>
      <c r="G68" s="1301"/>
      <c r="H68" s="1301"/>
      <c r="I68" s="1301"/>
      <c r="J68" s="1301"/>
      <c r="K68" s="1302"/>
      <c r="M68" s="421" t="b">
        <f t="shared" si="0"/>
        <v>0</v>
      </c>
      <c r="O68" s="831" t="b">
        <f ca="1">IF(AND(B68&lt;&gt;"",B68&lt;=Daten!$O$5,OR(B69="",B69&gt;Daten!$O$5)),TRUE,FALSE)</f>
        <v>0</v>
      </c>
    </row>
    <row r="69" spans="2:15" ht="18" hidden="1" customHeight="1" x14ac:dyDescent="0.2">
      <c r="B69" s="304"/>
      <c r="C69" s="305" t="s">
        <v>144</v>
      </c>
      <c r="D69" s="829"/>
      <c r="E69" s="1301"/>
      <c r="F69" s="1301"/>
      <c r="G69" s="1301"/>
      <c r="H69" s="1301"/>
      <c r="I69" s="1301"/>
      <c r="J69" s="1301"/>
      <c r="K69" s="1302"/>
      <c r="M69" s="421" t="b">
        <f t="shared" si="0"/>
        <v>0</v>
      </c>
      <c r="O69" s="831" t="b">
        <f ca="1">IF(AND(B69&lt;&gt;"",B69&lt;=Daten!$O$5,OR(B70="",B70&gt;Daten!$O$5)),TRUE,FALSE)</f>
        <v>0</v>
      </c>
    </row>
    <row r="70" spans="2:15" ht="18" hidden="1" customHeight="1" x14ac:dyDescent="0.2">
      <c r="B70" s="304"/>
      <c r="C70" s="305" t="s">
        <v>144</v>
      </c>
      <c r="D70" s="829"/>
      <c r="E70" s="1301"/>
      <c r="F70" s="1301"/>
      <c r="G70" s="1301"/>
      <c r="H70" s="1301"/>
      <c r="I70" s="1301"/>
      <c r="J70" s="1301"/>
      <c r="K70" s="1302"/>
      <c r="M70" s="421" t="b">
        <f t="shared" si="0"/>
        <v>0</v>
      </c>
      <c r="O70" s="831" t="b">
        <f ca="1">IF(AND(B70&lt;&gt;"",B70&lt;=Daten!$O$5,OR(B71="",B71&gt;Daten!$O$5)),TRUE,FALSE)</f>
        <v>0</v>
      </c>
    </row>
    <row r="71" spans="2:15" ht="18" hidden="1" customHeight="1" x14ac:dyDescent="0.2">
      <c r="B71" s="304"/>
      <c r="C71" s="305" t="s">
        <v>144</v>
      </c>
      <c r="D71" s="829"/>
      <c r="E71" s="1301"/>
      <c r="F71" s="1301"/>
      <c r="G71" s="1301"/>
      <c r="H71" s="1301"/>
      <c r="I71" s="1301"/>
      <c r="J71" s="1301"/>
      <c r="K71" s="1302"/>
      <c r="M71" s="421" t="b">
        <f t="shared" si="0"/>
        <v>0</v>
      </c>
      <c r="O71" s="831" t="b">
        <f ca="1">IF(AND(B71&lt;&gt;"",B71&lt;=Daten!$O$5,OR(B72="",B72&gt;Daten!$O$5)),TRUE,FALSE)</f>
        <v>0</v>
      </c>
    </row>
    <row r="72" spans="2:15" ht="18" hidden="1" customHeight="1" x14ac:dyDescent="0.2">
      <c r="B72" s="304"/>
      <c r="C72" s="305" t="s">
        <v>144</v>
      </c>
      <c r="D72" s="829"/>
      <c r="E72" s="1301"/>
      <c r="F72" s="1301"/>
      <c r="G72" s="1301"/>
      <c r="H72" s="1301"/>
      <c r="I72" s="1301"/>
      <c r="J72" s="1301"/>
      <c r="K72" s="1302"/>
      <c r="M72" s="421" t="b">
        <f t="shared" si="0"/>
        <v>0</v>
      </c>
      <c r="O72" s="831" t="b">
        <f ca="1">IF(AND(B72&lt;&gt;"",B72&lt;=Daten!$O$5,OR(B73="",B73&gt;Daten!$O$5)),TRUE,FALSE)</f>
        <v>0</v>
      </c>
    </row>
    <row r="73" spans="2:15" ht="18" hidden="1" customHeight="1" x14ac:dyDescent="0.2">
      <c r="B73" s="304"/>
      <c r="C73" s="305" t="s">
        <v>144</v>
      </c>
      <c r="D73" s="829"/>
      <c r="E73" s="1301"/>
      <c r="F73" s="1301"/>
      <c r="G73" s="1301"/>
      <c r="H73" s="1301"/>
      <c r="I73" s="1301"/>
      <c r="J73" s="1301"/>
      <c r="K73" s="1302"/>
      <c r="M73" s="421" t="b">
        <f t="shared" si="0"/>
        <v>0</v>
      </c>
      <c r="O73" s="831" t="b">
        <f ca="1">IF(AND(B73&lt;&gt;"",B73&lt;=Daten!$O$5,OR(B74="",B74&gt;Daten!$O$5)),TRUE,FALSE)</f>
        <v>0</v>
      </c>
    </row>
    <row r="74" spans="2:15" ht="18" hidden="1" customHeight="1" x14ac:dyDescent="0.2">
      <c r="B74" s="304"/>
      <c r="C74" s="305" t="s">
        <v>144</v>
      </c>
      <c r="D74" s="829"/>
      <c r="E74" s="1301"/>
      <c r="F74" s="1301"/>
      <c r="G74" s="1301"/>
      <c r="H74" s="1301"/>
      <c r="I74" s="1301"/>
      <c r="J74" s="1301"/>
      <c r="K74" s="1302"/>
      <c r="M74" s="421" t="b">
        <f t="shared" si="0"/>
        <v>0</v>
      </c>
      <c r="O74" s="831" t="b">
        <f ca="1">IF(AND(B74&lt;&gt;"",B74&lt;=Daten!$O$5,OR(B75="",B75&gt;Daten!$O$5)),TRUE,FALSE)</f>
        <v>0</v>
      </c>
    </row>
    <row r="75" spans="2:15" ht="18" hidden="1" customHeight="1" x14ac:dyDescent="0.2">
      <c r="B75" s="304"/>
      <c r="C75" s="305" t="s">
        <v>144</v>
      </c>
      <c r="D75" s="829"/>
      <c r="E75" s="1301"/>
      <c r="F75" s="1301"/>
      <c r="G75" s="1301"/>
      <c r="H75" s="1301"/>
      <c r="I75" s="1301"/>
      <c r="J75" s="1301"/>
      <c r="K75" s="1302"/>
      <c r="M75" s="421" t="b">
        <f t="shared" ref="M75:M109" si="1">IF(B75="",FALSE,TRUE)</f>
        <v>0</v>
      </c>
      <c r="O75" s="831" t="b">
        <f ca="1">IF(AND(B75&lt;&gt;"",B75&lt;=Daten!$O$5,OR(B76="",B76&gt;Daten!$O$5)),TRUE,FALSE)</f>
        <v>0</v>
      </c>
    </row>
    <row r="76" spans="2:15" ht="18" hidden="1" customHeight="1" x14ac:dyDescent="0.2">
      <c r="B76" s="304"/>
      <c r="C76" s="305" t="s">
        <v>144</v>
      </c>
      <c r="D76" s="829"/>
      <c r="E76" s="1301"/>
      <c r="F76" s="1301"/>
      <c r="G76" s="1301"/>
      <c r="H76" s="1301"/>
      <c r="I76" s="1301"/>
      <c r="J76" s="1301"/>
      <c r="K76" s="1302"/>
      <c r="M76" s="421" t="b">
        <f t="shared" si="1"/>
        <v>0</v>
      </c>
      <c r="O76" s="831" t="b">
        <f ca="1">IF(AND(B76&lt;&gt;"",B76&lt;=Daten!$O$5,OR(B77="",B77&gt;Daten!$O$5)),TRUE,FALSE)</f>
        <v>0</v>
      </c>
    </row>
    <row r="77" spans="2:15" ht="18" hidden="1" customHeight="1" x14ac:dyDescent="0.2">
      <c r="B77" s="304"/>
      <c r="C77" s="305" t="s">
        <v>144</v>
      </c>
      <c r="D77" s="829"/>
      <c r="E77" s="1301"/>
      <c r="F77" s="1301"/>
      <c r="G77" s="1301"/>
      <c r="H77" s="1301"/>
      <c r="I77" s="1301"/>
      <c r="J77" s="1301"/>
      <c r="K77" s="1302"/>
      <c r="M77" s="421" t="b">
        <f t="shared" si="1"/>
        <v>0</v>
      </c>
      <c r="O77" s="831" t="b">
        <f ca="1">IF(AND(B77&lt;&gt;"",B77&lt;=Daten!$O$5,OR(B78="",B78&gt;Daten!$O$5)),TRUE,FALSE)</f>
        <v>0</v>
      </c>
    </row>
    <row r="78" spans="2:15" ht="18" hidden="1" customHeight="1" x14ac:dyDescent="0.2">
      <c r="B78" s="304"/>
      <c r="C78" s="305" t="s">
        <v>144</v>
      </c>
      <c r="D78" s="829"/>
      <c r="E78" s="1301"/>
      <c r="F78" s="1301"/>
      <c r="G78" s="1301"/>
      <c r="H78" s="1301"/>
      <c r="I78" s="1301"/>
      <c r="J78" s="1301"/>
      <c r="K78" s="1302"/>
      <c r="M78" s="421" t="b">
        <f t="shared" si="1"/>
        <v>0</v>
      </c>
      <c r="O78" s="831" t="b">
        <f ca="1">IF(AND(B78&lt;&gt;"",B78&lt;=Daten!$O$5,OR(B79="",B79&gt;Daten!$O$5)),TRUE,FALSE)</f>
        <v>0</v>
      </c>
    </row>
    <row r="79" spans="2:15" ht="18" hidden="1" customHeight="1" x14ac:dyDescent="0.2">
      <c r="B79" s="304"/>
      <c r="C79" s="305" t="s">
        <v>144</v>
      </c>
      <c r="D79" s="829"/>
      <c r="E79" s="1301"/>
      <c r="F79" s="1301"/>
      <c r="G79" s="1301"/>
      <c r="H79" s="1301"/>
      <c r="I79" s="1301"/>
      <c r="J79" s="1301"/>
      <c r="K79" s="1302"/>
      <c r="M79" s="421" t="b">
        <f t="shared" si="1"/>
        <v>0</v>
      </c>
      <c r="O79" s="831" t="b">
        <f ca="1">IF(AND(B79&lt;&gt;"",B79&lt;=Daten!$O$5,OR(B80="",B80&gt;Daten!$O$5)),TRUE,FALSE)</f>
        <v>0</v>
      </c>
    </row>
    <row r="80" spans="2:15" ht="18" hidden="1" customHeight="1" x14ac:dyDescent="0.2">
      <c r="B80" s="304"/>
      <c r="C80" s="305" t="s">
        <v>144</v>
      </c>
      <c r="D80" s="829"/>
      <c r="E80" s="1301"/>
      <c r="F80" s="1301"/>
      <c r="G80" s="1301"/>
      <c r="H80" s="1301"/>
      <c r="I80" s="1301"/>
      <c r="J80" s="1301"/>
      <c r="K80" s="1302"/>
      <c r="M80" s="421" t="b">
        <f t="shared" si="1"/>
        <v>0</v>
      </c>
      <c r="O80" s="831" t="b">
        <f ca="1">IF(AND(B80&lt;&gt;"",B80&lt;=Daten!$O$5,OR(B81="",B81&gt;Daten!$O$5)),TRUE,FALSE)</f>
        <v>0</v>
      </c>
    </row>
    <row r="81" spans="2:15" ht="18" hidden="1" customHeight="1" x14ac:dyDescent="0.2">
      <c r="B81" s="304"/>
      <c r="C81" s="305" t="s">
        <v>144</v>
      </c>
      <c r="D81" s="829"/>
      <c r="E81" s="1301"/>
      <c r="F81" s="1301"/>
      <c r="G81" s="1301"/>
      <c r="H81" s="1301"/>
      <c r="I81" s="1301"/>
      <c r="J81" s="1301"/>
      <c r="K81" s="1302"/>
      <c r="M81" s="421" t="b">
        <f t="shared" si="1"/>
        <v>0</v>
      </c>
      <c r="O81" s="831" t="b">
        <f ca="1">IF(AND(B81&lt;&gt;"",B81&lt;=Daten!$O$5,OR(B82="",B82&gt;Daten!$O$5)),TRUE,FALSE)</f>
        <v>0</v>
      </c>
    </row>
    <row r="82" spans="2:15" ht="18" hidden="1" customHeight="1" x14ac:dyDescent="0.2">
      <c r="B82" s="304"/>
      <c r="C82" s="305" t="s">
        <v>144</v>
      </c>
      <c r="D82" s="829"/>
      <c r="E82" s="1301"/>
      <c r="F82" s="1301"/>
      <c r="G82" s="1301"/>
      <c r="H82" s="1301"/>
      <c r="I82" s="1301"/>
      <c r="J82" s="1301"/>
      <c r="K82" s="1302"/>
      <c r="M82" s="421" t="b">
        <f t="shared" si="1"/>
        <v>0</v>
      </c>
      <c r="O82" s="831" t="b">
        <f ca="1">IF(AND(B82&lt;&gt;"",B82&lt;=Daten!$O$5,OR(B83="",B83&gt;Daten!$O$5)),TRUE,FALSE)</f>
        <v>0</v>
      </c>
    </row>
    <row r="83" spans="2:15" ht="18" hidden="1" customHeight="1" x14ac:dyDescent="0.2">
      <c r="B83" s="304"/>
      <c r="C83" s="305" t="s">
        <v>144</v>
      </c>
      <c r="D83" s="829"/>
      <c r="E83" s="1301"/>
      <c r="F83" s="1301"/>
      <c r="G83" s="1301"/>
      <c r="H83" s="1301"/>
      <c r="I83" s="1301"/>
      <c r="J83" s="1301"/>
      <c r="K83" s="1302"/>
      <c r="M83" s="421" t="b">
        <f t="shared" si="1"/>
        <v>0</v>
      </c>
      <c r="O83" s="831" t="b">
        <f ca="1">IF(AND(B83&lt;&gt;"",B83&lt;=Daten!$O$5,OR(B84="",B84&gt;Daten!$O$5)),TRUE,FALSE)</f>
        <v>0</v>
      </c>
    </row>
    <row r="84" spans="2:15" ht="18" hidden="1" customHeight="1" x14ac:dyDescent="0.2">
      <c r="B84" s="304"/>
      <c r="C84" s="305" t="s">
        <v>144</v>
      </c>
      <c r="D84" s="829"/>
      <c r="E84" s="1301"/>
      <c r="F84" s="1301"/>
      <c r="G84" s="1301"/>
      <c r="H84" s="1301"/>
      <c r="I84" s="1301"/>
      <c r="J84" s="1301"/>
      <c r="K84" s="1302"/>
      <c r="M84" s="421" t="b">
        <f t="shared" si="1"/>
        <v>0</v>
      </c>
      <c r="O84" s="831" t="b">
        <f ca="1">IF(AND(B84&lt;&gt;"",B84&lt;=Daten!$O$5,OR(B85="",B85&gt;Daten!$O$5)),TRUE,FALSE)</f>
        <v>0</v>
      </c>
    </row>
    <row r="85" spans="2:15" ht="18" hidden="1" customHeight="1" x14ac:dyDescent="0.2">
      <c r="B85" s="304"/>
      <c r="C85" s="305" t="s">
        <v>144</v>
      </c>
      <c r="D85" s="829"/>
      <c r="E85" s="1301"/>
      <c r="F85" s="1301"/>
      <c r="G85" s="1301"/>
      <c r="H85" s="1301"/>
      <c r="I85" s="1301"/>
      <c r="J85" s="1301"/>
      <c r="K85" s="1302"/>
      <c r="M85" s="421" t="b">
        <f t="shared" si="1"/>
        <v>0</v>
      </c>
      <c r="O85" s="831" t="b">
        <f ca="1">IF(AND(B85&lt;&gt;"",B85&lt;=Daten!$O$5,OR(B86="",B86&gt;Daten!$O$5)),TRUE,FALSE)</f>
        <v>0</v>
      </c>
    </row>
    <row r="86" spans="2:15" ht="18" hidden="1" customHeight="1" x14ac:dyDescent="0.2">
      <c r="B86" s="304"/>
      <c r="C86" s="305" t="s">
        <v>144</v>
      </c>
      <c r="D86" s="829"/>
      <c r="E86" s="1301"/>
      <c r="F86" s="1301"/>
      <c r="G86" s="1301"/>
      <c r="H86" s="1301"/>
      <c r="I86" s="1301"/>
      <c r="J86" s="1301"/>
      <c r="K86" s="1302"/>
      <c r="M86" s="421" t="b">
        <f t="shared" si="1"/>
        <v>0</v>
      </c>
      <c r="O86" s="831" t="b">
        <f ca="1">IF(AND(B86&lt;&gt;"",B86&lt;=Daten!$O$5,OR(B87="",B87&gt;Daten!$O$5)),TRUE,FALSE)</f>
        <v>0</v>
      </c>
    </row>
    <row r="87" spans="2:15" ht="18" hidden="1" customHeight="1" x14ac:dyDescent="0.2">
      <c r="B87" s="304"/>
      <c r="C87" s="305" t="s">
        <v>144</v>
      </c>
      <c r="D87" s="829"/>
      <c r="E87" s="1301"/>
      <c r="F87" s="1301"/>
      <c r="G87" s="1301"/>
      <c r="H87" s="1301"/>
      <c r="I87" s="1301"/>
      <c r="J87" s="1301"/>
      <c r="K87" s="1302"/>
      <c r="M87" s="421" t="b">
        <f t="shared" si="1"/>
        <v>0</v>
      </c>
      <c r="O87" s="831" t="b">
        <f ca="1">IF(AND(B87&lt;&gt;"",B87&lt;=Daten!$O$5,OR(B88="",B88&gt;Daten!$O$5)),TRUE,FALSE)</f>
        <v>0</v>
      </c>
    </row>
    <row r="88" spans="2:15" ht="18" hidden="1" customHeight="1" x14ac:dyDescent="0.2">
      <c r="B88" s="304"/>
      <c r="C88" s="305" t="s">
        <v>144</v>
      </c>
      <c r="D88" s="829"/>
      <c r="E88" s="1301"/>
      <c r="F88" s="1301"/>
      <c r="G88" s="1301"/>
      <c r="H88" s="1301"/>
      <c r="I88" s="1301"/>
      <c r="J88" s="1301"/>
      <c r="K88" s="1302"/>
      <c r="M88" s="421" t="b">
        <f t="shared" si="1"/>
        <v>0</v>
      </c>
      <c r="O88" s="831" t="b">
        <f ca="1">IF(AND(B88&lt;&gt;"",B88&lt;=Daten!$O$5,OR(B89="",B89&gt;Daten!$O$5)),TRUE,FALSE)</f>
        <v>0</v>
      </c>
    </row>
    <row r="89" spans="2:15" ht="18" hidden="1" customHeight="1" x14ac:dyDescent="0.2">
      <c r="B89" s="304"/>
      <c r="C89" s="305" t="s">
        <v>144</v>
      </c>
      <c r="D89" s="829"/>
      <c r="E89" s="1301"/>
      <c r="F89" s="1301"/>
      <c r="G89" s="1301"/>
      <c r="H89" s="1301"/>
      <c r="I89" s="1301"/>
      <c r="J89" s="1301"/>
      <c r="K89" s="1302"/>
      <c r="M89" s="421" t="b">
        <f t="shared" si="1"/>
        <v>0</v>
      </c>
      <c r="O89" s="831" t="b">
        <f ca="1">IF(AND(B89&lt;&gt;"",B89&lt;=Daten!$O$5,OR(B90="",B90&gt;Daten!$O$5)),TRUE,FALSE)</f>
        <v>0</v>
      </c>
    </row>
    <row r="90" spans="2:15" ht="18" hidden="1" customHeight="1" x14ac:dyDescent="0.2">
      <c r="B90" s="304"/>
      <c r="C90" s="305" t="s">
        <v>144</v>
      </c>
      <c r="D90" s="829"/>
      <c r="E90" s="1301"/>
      <c r="F90" s="1301"/>
      <c r="G90" s="1301"/>
      <c r="H90" s="1301"/>
      <c r="I90" s="1301"/>
      <c r="J90" s="1301"/>
      <c r="K90" s="1302"/>
      <c r="M90" s="421" t="b">
        <f t="shared" si="1"/>
        <v>0</v>
      </c>
      <c r="O90" s="831" t="b">
        <f ca="1">IF(AND(B90&lt;&gt;"",B90&lt;=Daten!$O$5,OR(B91="",B91&gt;Daten!$O$5)),TRUE,FALSE)</f>
        <v>0</v>
      </c>
    </row>
    <row r="91" spans="2:15" ht="18" hidden="1" customHeight="1" x14ac:dyDescent="0.2">
      <c r="B91" s="304"/>
      <c r="C91" s="305" t="s">
        <v>144</v>
      </c>
      <c r="D91" s="829"/>
      <c r="E91" s="1301"/>
      <c r="F91" s="1301"/>
      <c r="G91" s="1301"/>
      <c r="H91" s="1301"/>
      <c r="I91" s="1301"/>
      <c r="J91" s="1301"/>
      <c r="K91" s="1302"/>
      <c r="M91" s="421" t="b">
        <f t="shared" si="1"/>
        <v>0</v>
      </c>
      <c r="O91" s="831" t="b">
        <f ca="1">IF(AND(B91&lt;&gt;"",B91&lt;=Daten!$O$5,OR(B92="",B92&gt;Daten!$O$5)),TRUE,FALSE)</f>
        <v>0</v>
      </c>
    </row>
    <row r="92" spans="2:15" ht="18" hidden="1" customHeight="1" x14ac:dyDescent="0.2">
      <c r="B92" s="304"/>
      <c r="C92" s="305" t="s">
        <v>144</v>
      </c>
      <c r="D92" s="829"/>
      <c r="E92" s="1301"/>
      <c r="F92" s="1301"/>
      <c r="G92" s="1301"/>
      <c r="H92" s="1301"/>
      <c r="I92" s="1301"/>
      <c r="J92" s="1301"/>
      <c r="K92" s="1302"/>
      <c r="M92" s="421" t="b">
        <f t="shared" si="1"/>
        <v>0</v>
      </c>
      <c r="O92" s="831" t="b">
        <f ca="1">IF(AND(B92&lt;&gt;"",B92&lt;=Daten!$O$5,OR(B93="",B93&gt;Daten!$O$5)),TRUE,FALSE)</f>
        <v>0</v>
      </c>
    </row>
    <row r="93" spans="2:15" ht="18" hidden="1" customHeight="1" x14ac:dyDescent="0.2">
      <c r="B93" s="304"/>
      <c r="C93" s="305" t="s">
        <v>144</v>
      </c>
      <c r="D93" s="829"/>
      <c r="E93" s="1301"/>
      <c r="F93" s="1301"/>
      <c r="G93" s="1301"/>
      <c r="H93" s="1301"/>
      <c r="I93" s="1301"/>
      <c r="J93" s="1301"/>
      <c r="K93" s="1302"/>
      <c r="M93" s="421" t="b">
        <f t="shared" si="1"/>
        <v>0</v>
      </c>
      <c r="O93" s="831" t="b">
        <f ca="1">IF(AND(B93&lt;&gt;"",B93&lt;=Daten!$O$5,OR(B94="",B94&gt;Daten!$O$5)),TRUE,FALSE)</f>
        <v>0</v>
      </c>
    </row>
    <row r="94" spans="2:15" ht="18" hidden="1" customHeight="1" x14ac:dyDescent="0.2">
      <c r="B94" s="304"/>
      <c r="C94" s="305" t="s">
        <v>144</v>
      </c>
      <c r="D94" s="829"/>
      <c r="E94" s="1301"/>
      <c r="F94" s="1301"/>
      <c r="G94" s="1301"/>
      <c r="H94" s="1301"/>
      <c r="I94" s="1301"/>
      <c r="J94" s="1301"/>
      <c r="K94" s="1302"/>
      <c r="M94" s="421" t="b">
        <f t="shared" si="1"/>
        <v>0</v>
      </c>
      <c r="O94" s="831" t="b">
        <f ca="1">IF(AND(B94&lt;&gt;"",B94&lt;=Daten!$O$5,OR(B95="",B95&gt;Daten!$O$5)),TRUE,FALSE)</f>
        <v>0</v>
      </c>
    </row>
    <row r="95" spans="2:15" ht="18" hidden="1" customHeight="1" x14ac:dyDescent="0.2">
      <c r="B95" s="304"/>
      <c r="C95" s="305" t="s">
        <v>144</v>
      </c>
      <c r="D95" s="829"/>
      <c r="E95" s="1301"/>
      <c r="F95" s="1301"/>
      <c r="G95" s="1301"/>
      <c r="H95" s="1301"/>
      <c r="I95" s="1301"/>
      <c r="J95" s="1301"/>
      <c r="K95" s="1302"/>
      <c r="M95" s="421" t="b">
        <f t="shared" si="1"/>
        <v>0</v>
      </c>
      <c r="O95" s="831" t="b">
        <f ca="1">IF(AND(B95&lt;&gt;"",B95&lt;=Daten!$O$5,OR(B96="",B96&gt;Daten!$O$5)),TRUE,FALSE)</f>
        <v>0</v>
      </c>
    </row>
    <row r="96" spans="2:15" ht="18" hidden="1" customHeight="1" x14ac:dyDescent="0.2">
      <c r="B96" s="304"/>
      <c r="C96" s="305" t="s">
        <v>144</v>
      </c>
      <c r="D96" s="829"/>
      <c r="E96" s="1301"/>
      <c r="F96" s="1301"/>
      <c r="G96" s="1301"/>
      <c r="H96" s="1301"/>
      <c r="I96" s="1301"/>
      <c r="J96" s="1301"/>
      <c r="K96" s="1302"/>
      <c r="M96" s="421" t="b">
        <f t="shared" si="1"/>
        <v>0</v>
      </c>
      <c r="O96" s="831" t="b">
        <f ca="1">IF(AND(B96&lt;&gt;"",B96&lt;=Daten!$O$5,OR(B97="",B97&gt;Daten!$O$5)),TRUE,FALSE)</f>
        <v>0</v>
      </c>
    </row>
    <row r="97" spans="2:15" ht="18" hidden="1" customHeight="1" x14ac:dyDescent="0.2">
      <c r="B97" s="304"/>
      <c r="C97" s="305" t="s">
        <v>144</v>
      </c>
      <c r="D97" s="829"/>
      <c r="E97" s="1301"/>
      <c r="F97" s="1301"/>
      <c r="G97" s="1301"/>
      <c r="H97" s="1301"/>
      <c r="I97" s="1301"/>
      <c r="J97" s="1301"/>
      <c r="K97" s="1302"/>
      <c r="M97" s="421" t="b">
        <f t="shared" si="1"/>
        <v>0</v>
      </c>
      <c r="O97" s="831" t="b">
        <f ca="1">IF(AND(B97&lt;&gt;"",B97&lt;=Daten!$O$5,OR(B98="",B98&gt;Daten!$O$5)),TRUE,FALSE)</f>
        <v>0</v>
      </c>
    </row>
    <row r="98" spans="2:15" ht="18" hidden="1" customHeight="1" x14ac:dyDescent="0.2">
      <c r="B98" s="304"/>
      <c r="C98" s="305" t="s">
        <v>144</v>
      </c>
      <c r="D98" s="829"/>
      <c r="E98" s="1301"/>
      <c r="F98" s="1301"/>
      <c r="G98" s="1301"/>
      <c r="H98" s="1301"/>
      <c r="I98" s="1301"/>
      <c r="J98" s="1301"/>
      <c r="K98" s="1302"/>
      <c r="M98" s="421" t="b">
        <f t="shared" si="1"/>
        <v>0</v>
      </c>
      <c r="O98" s="831" t="b">
        <f ca="1">IF(AND(B98&lt;&gt;"",B98&lt;=Daten!$O$5,OR(B99="",B99&gt;Daten!$O$5)),TRUE,FALSE)</f>
        <v>0</v>
      </c>
    </row>
    <row r="99" spans="2:15" ht="18" hidden="1" customHeight="1" x14ac:dyDescent="0.2">
      <c r="B99" s="304"/>
      <c r="C99" s="305" t="s">
        <v>144</v>
      </c>
      <c r="D99" s="829"/>
      <c r="E99" s="1301"/>
      <c r="F99" s="1301"/>
      <c r="G99" s="1301"/>
      <c r="H99" s="1301"/>
      <c r="I99" s="1301"/>
      <c r="J99" s="1301"/>
      <c r="K99" s="1302"/>
      <c r="M99" s="421" t="b">
        <f t="shared" si="1"/>
        <v>0</v>
      </c>
      <c r="O99" s="831" t="b">
        <f ca="1">IF(AND(B99&lt;&gt;"",B99&lt;=Daten!$O$5,OR(B100="",B100&gt;Daten!$O$5)),TRUE,FALSE)</f>
        <v>0</v>
      </c>
    </row>
    <row r="100" spans="2:15" ht="18" hidden="1" customHeight="1" x14ac:dyDescent="0.2">
      <c r="B100" s="304"/>
      <c r="C100" s="305" t="s">
        <v>144</v>
      </c>
      <c r="D100" s="829"/>
      <c r="E100" s="1301"/>
      <c r="F100" s="1301"/>
      <c r="G100" s="1301"/>
      <c r="H100" s="1301"/>
      <c r="I100" s="1301"/>
      <c r="J100" s="1301"/>
      <c r="K100" s="1302"/>
      <c r="M100" s="421" t="b">
        <f t="shared" si="1"/>
        <v>0</v>
      </c>
      <c r="O100" s="831" t="b">
        <f ca="1">IF(AND(B100&lt;&gt;"",B100&lt;=Daten!$O$5,OR(B101="",B101&gt;Daten!$O$5)),TRUE,FALSE)</f>
        <v>0</v>
      </c>
    </row>
    <row r="101" spans="2:15" ht="18" hidden="1" customHeight="1" x14ac:dyDescent="0.2">
      <c r="B101" s="304"/>
      <c r="C101" s="305" t="s">
        <v>144</v>
      </c>
      <c r="D101" s="829"/>
      <c r="E101" s="1301"/>
      <c r="F101" s="1301"/>
      <c r="G101" s="1301"/>
      <c r="H101" s="1301"/>
      <c r="I101" s="1301"/>
      <c r="J101" s="1301"/>
      <c r="K101" s="1302"/>
      <c r="M101" s="421" t="b">
        <f t="shared" si="1"/>
        <v>0</v>
      </c>
      <c r="O101" s="831" t="b">
        <f ca="1">IF(AND(B101&lt;&gt;"",B101&lt;=Daten!$O$5,OR(B102="",B102&gt;Daten!$O$5)),TRUE,FALSE)</f>
        <v>0</v>
      </c>
    </row>
    <row r="102" spans="2:15" ht="18" hidden="1" customHeight="1" x14ac:dyDescent="0.2">
      <c r="B102" s="304"/>
      <c r="C102" s="305" t="s">
        <v>144</v>
      </c>
      <c r="D102" s="829"/>
      <c r="E102" s="1301"/>
      <c r="F102" s="1301"/>
      <c r="G102" s="1301"/>
      <c r="H102" s="1301"/>
      <c r="I102" s="1301"/>
      <c r="J102" s="1301"/>
      <c r="K102" s="1302"/>
      <c r="M102" s="421" t="b">
        <f t="shared" si="1"/>
        <v>0</v>
      </c>
      <c r="O102" s="831" t="b">
        <f ca="1">IF(AND(B102&lt;&gt;"",B102&lt;=Daten!$O$5,OR(B103="",B103&gt;Daten!$O$5)),TRUE,FALSE)</f>
        <v>0</v>
      </c>
    </row>
    <row r="103" spans="2:15" ht="18" hidden="1" customHeight="1" x14ac:dyDescent="0.2">
      <c r="B103" s="304"/>
      <c r="C103" s="305" t="s">
        <v>144</v>
      </c>
      <c r="D103" s="829"/>
      <c r="E103" s="1301"/>
      <c r="F103" s="1301"/>
      <c r="G103" s="1301"/>
      <c r="H103" s="1301"/>
      <c r="I103" s="1301"/>
      <c r="J103" s="1301"/>
      <c r="K103" s="1302"/>
      <c r="M103" s="421" t="b">
        <f t="shared" si="1"/>
        <v>0</v>
      </c>
      <c r="O103" s="831" t="b">
        <f ca="1">IF(AND(B103&lt;&gt;"",B103&lt;=Daten!$O$5,OR(B104="",B104&gt;Daten!$O$5)),TRUE,FALSE)</f>
        <v>0</v>
      </c>
    </row>
    <row r="104" spans="2:15" ht="18" hidden="1" customHeight="1" x14ac:dyDescent="0.2">
      <c r="B104" s="304"/>
      <c r="C104" s="305" t="s">
        <v>144</v>
      </c>
      <c r="D104" s="829"/>
      <c r="E104" s="1301"/>
      <c r="F104" s="1301"/>
      <c r="G104" s="1301"/>
      <c r="H104" s="1301"/>
      <c r="I104" s="1301"/>
      <c r="J104" s="1301"/>
      <c r="K104" s="1302"/>
      <c r="M104" s="421" t="b">
        <f t="shared" si="1"/>
        <v>0</v>
      </c>
      <c r="O104" s="831" t="b">
        <f ca="1">IF(AND(B104&lt;&gt;"",B104&lt;=Daten!$O$5,OR(B105="",B105&gt;Daten!$O$5)),TRUE,FALSE)</f>
        <v>0</v>
      </c>
    </row>
    <row r="105" spans="2:15" ht="18" hidden="1" customHeight="1" x14ac:dyDescent="0.2">
      <c r="B105" s="304"/>
      <c r="C105" s="305" t="s">
        <v>144</v>
      </c>
      <c r="D105" s="829"/>
      <c r="E105" s="1301"/>
      <c r="F105" s="1301"/>
      <c r="G105" s="1301"/>
      <c r="H105" s="1301"/>
      <c r="I105" s="1301"/>
      <c r="J105" s="1301"/>
      <c r="K105" s="1302"/>
      <c r="M105" s="421" t="b">
        <f t="shared" si="1"/>
        <v>0</v>
      </c>
      <c r="O105" s="831" t="b">
        <f ca="1">IF(AND(B105&lt;&gt;"",B105&lt;=Daten!$O$5,OR(B106="",B106&gt;Daten!$O$5)),TRUE,FALSE)</f>
        <v>0</v>
      </c>
    </row>
    <row r="106" spans="2:15" ht="18" hidden="1" customHeight="1" x14ac:dyDescent="0.2">
      <c r="B106" s="304"/>
      <c r="C106" s="305" t="s">
        <v>144</v>
      </c>
      <c r="D106" s="829"/>
      <c r="E106" s="1301"/>
      <c r="F106" s="1301"/>
      <c r="G106" s="1301"/>
      <c r="H106" s="1301"/>
      <c r="I106" s="1301"/>
      <c r="J106" s="1301"/>
      <c r="K106" s="1302"/>
      <c r="M106" s="421" t="b">
        <f t="shared" si="1"/>
        <v>0</v>
      </c>
      <c r="O106" s="831" t="b">
        <f ca="1">IF(AND(B106&lt;&gt;"",B106&lt;=Daten!$O$5,OR(B107="",B107&gt;Daten!$O$5)),TRUE,FALSE)</f>
        <v>0</v>
      </c>
    </row>
    <row r="107" spans="2:15" ht="18" hidden="1" customHeight="1" x14ac:dyDescent="0.2">
      <c r="B107" s="304"/>
      <c r="C107" s="305" t="s">
        <v>144</v>
      </c>
      <c r="D107" s="829"/>
      <c r="E107" s="1301"/>
      <c r="F107" s="1301"/>
      <c r="G107" s="1301"/>
      <c r="H107" s="1301"/>
      <c r="I107" s="1301"/>
      <c r="J107" s="1301"/>
      <c r="K107" s="1302"/>
      <c r="M107" s="421" t="b">
        <f t="shared" si="1"/>
        <v>0</v>
      </c>
      <c r="O107" s="831" t="b">
        <f ca="1">IF(AND(B107&lt;&gt;"",B107&lt;=Daten!$O$5,OR(B108="",B108&gt;Daten!$O$5)),TRUE,FALSE)</f>
        <v>0</v>
      </c>
    </row>
    <row r="108" spans="2:15" ht="18" hidden="1" customHeight="1" x14ac:dyDescent="0.2">
      <c r="B108" s="304"/>
      <c r="C108" s="305" t="s">
        <v>144</v>
      </c>
      <c r="D108" s="829"/>
      <c r="E108" s="1301"/>
      <c r="F108" s="1301"/>
      <c r="G108" s="1301"/>
      <c r="H108" s="1301"/>
      <c r="I108" s="1301"/>
      <c r="J108" s="1301"/>
      <c r="K108" s="1302"/>
      <c r="M108" s="421" t="b">
        <f t="shared" si="1"/>
        <v>0</v>
      </c>
      <c r="O108" s="831" t="b">
        <f ca="1">IF(AND(B108&lt;&gt;"",B108&lt;=Daten!$O$5,OR(B109="",B109&gt;Daten!$O$5)),TRUE,FALSE)</f>
        <v>0</v>
      </c>
    </row>
    <row r="109" spans="2:15" ht="18" hidden="1" customHeight="1" thickBot="1" x14ac:dyDescent="0.25">
      <c r="B109" s="306"/>
      <c r="C109" s="307" t="s">
        <v>144</v>
      </c>
      <c r="D109" s="830"/>
      <c r="E109" s="1303"/>
      <c r="F109" s="1303"/>
      <c r="G109" s="1303"/>
      <c r="H109" s="1303"/>
      <c r="I109" s="1303"/>
      <c r="J109" s="1303"/>
      <c r="K109" s="1304"/>
      <c r="M109" s="421" t="b">
        <f t="shared" si="1"/>
        <v>0</v>
      </c>
      <c r="O109" s="831" t="b">
        <f ca="1">IF(AND(B109&lt;&gt;"",B109&lt;=Daten!$O$5,OR(B110="",B110&gt;Daten!$O$5)),TRUE,FALSE)</f>
        <v>0</v>
      </c>
    </row>
    <row r="110" spans="2:15" ht="13.15" customHeight="1" thickTop="1" x14ac:dyDescent="0.2">
      <c r="B110" s="39"/>
      <c r="C110" s="38"/>
      <c r="D110" s="37"/>
      <c r="E110" s="36"/>
      <c r="F110" s="36"/>
      <c r="G110" s="36"/>
      <c r="H110" s="36"/>
      <c r="I110" s="36"/>
      <c r="J110" s="36"/>
      <c r="K110" s="36"/>
    </row>
  </sheetData>
  <sheetProtection algorithmName="SHA-512" hashValue="f+ydKkOp0jPvCXJk6G1MlnGbaBNRiY6RASg3tACRKdNfOabEslXkNqlmBDhvu6hHllm+U6VpeKaDuYxbsJDSgQ==" saltValue="eDBv+LXcUJjK4SpGJqSsDA==" spinCount="100000" sheet="1" objects="1" scenarios="1" selectLockedCells="1" selectUnlockedCells="1"/>
  <mergeCells count="105">
    <mergeCell ref="B1:C1"/>
    <mergeCell ref="B5:C6"/>
    <mergeCell ref="D5:I6"/>
    <mergeCell ref="J5:K6"/>
    <mergeCell ref="E9:F9"/>
    <mergeCell ref="E10:K10"/>
    <mergeCell ref="E11:K11"/>
    <mergeCell ref="E12:K12"/>
    <mergeCell ref="E13:K13"/>
    <mergeCell ref="E14:K14"/>
    <mergeCell ref="E15:K15"/>
    <mergeCell ref="E16:K16"/>
    <mergeCell ref="E17:K17"/>
    <mergeCell ref="E18:K18"/>
    <mergeCell ref="E19:K19"/>
    <mergeCell ref="E20:K20"/>
    <mergeCell ref="E21:K21"/>
    <mergeCell ref="E22:K22"/>
    <mergeCell ref="E23:K23"/>
    <mergeCell ref="E24:K24"/>
    <mergeCell ref="E25:K25"/>
    <mergeCell ref="E26:K26"/>
    <mergeCell ref="E27:K27"/>
    <mergeCell ref="E28:K28"/>
    <mergeCell ref="E29:K29"/>
    <mergeCell ref="E30:K30"/>
    <mergeCell ref="E31:K31"/>
    <mergeCell ref="E32:K32"/>
    <mergeCell ref="E33:K33"/>
    <mergeCell ref="E34:K34"/>
    <mergeCell ref="E35:K35"/>
    <mergeCell ref="E36:K36"/>
    <mergeCell ref="E37:K37"/>
    <mergeCell ref="E38:K38"/>
    <mergeCell ref="E39:K39"/>
    <mergeCell ref="E40:K40"/>
    <mergeCell ref="E41:K41"/>
    <mergeCell ref="E42:K42"/>
    <mergeCell ref="E43:K43"/>
    <mergeCell ref="E44:K44"/>
    <mergeCell ref="E45:K45"/>
    <mergeCell ref="E46:K46"/>
    <mergeCell ref="E47:K47"/>
    <mergeCell ref="E48:K48"/>
    <mergeCell ref="E49:K49"/>
    <mergeCell ref="E50:K50"/>
    <mergeCell ref="E51:K51"/>
    <mergeCell ref="E52:K52"/>
    <mergeCell ref="E53:K53"/>
    <mergeCell ref="E54:K54"/>
    <mergeCell ref="E55:K55"/>
    <mergeCell ref="E56:K56"/>
    <mergeCell ref="E57:K57"/>
    <mergeCell ref="E58:K58"/>
    <mergeCell ref="E59:K59"/>
    <mergeCell ref="E60:K60"/>
    <mergeCell ref="E61:K61"/>
    <mergeCell ref="E62:K62"/>
    <mergeCell ref="E63:K63"/>
    <mergeCell ref="E64:K64"/>
    <mergeCell ref="E65:K65"/>
    <mergeCell ref="E66:K66"/>
    <mergeCell ref="E67:K67"/>
    <mergeCell ref="E68:K68"/>
    <mergeCell ref="E69:K69"/>
    <mergeCell ref="E70:K70"/>
    <mergeCell ref="E71:K71"/>
    <mergeCell ref="E72:K72"/>
    <mergeCell ref="E73:K73"/>
    <mergeCell ref="E74:K74"/>
    <mergeCell ref="E75:K75"/>
    <mergeCell ref="E76:K76"/>
    <mergeCell ref="E77:K77"/>
    <mergeCell ref="E78:K78"/>
    <mergeCell ref="E79:K79"/>
    <mergeCell ref="E80:K80"/>
    <mergeCell ref="E81:K81"/>
    <mergeCell ref="E82:K82"/>
    <mergeCell ref="E83:K83"/>
    <mergeCell ref="E84:K84"/>
    <mergeCell ref="E85:K85"/>
    <mergeCell ref="E86:K86"/>
    <mergeCell ref="E87:K87"/>
    <mergeCell ref="E88:K88"/>
    <mergeCell ref="E89:K89"/>
    <mergeCell ref="E90:K90"/>
    <mergeCell ref="E91:K91"/>
    <mergeCell ref="E92:K92"/>
    <mergeCell ref="E93:K93"/>
    <mergeCell ref="E94:K94"/>
    <mergeCell ref="E95:K95"/>
    <mergeCell ref="E96:K96"/>
    <mergeCell ref="E97:K97"/>
    <mergeCell ref="E98:K98"/>
    <mergeCell ref="E99:K99"/>
    <mergeCell ref="E100:K100"/>
    <mergeCell ref="E107:K107"/>
    <mergeCell ref="E108:K108"/>
    <mergeCell ref="E109:K109"/>
    <mergeCell ref="E101:K101"/>
    <mergeCell ref="E102:K102"/>
    <mergeCell ref="E103:K103"/>
    <mergeCell ref="E104:K104"/>
    <mergeCell ref="E105:K105"/>
    <mergeCell ref="E106:K106"/>
  </mergeCells>
  <conditionalFormatting sqref="B10:K109">
    <cfRule type="expression" dxfId="0" priority="1">
      <formula>$O10=TRUE</formula>
    </cfRule>
  </conditionalFormatting>
  <dataValidations count="1">
    <dataValidation type="list" allowBlank="1" showInputMessage="1" showErrorMessage="1" sqref="D1">
      <formula1>"WAHR,FALSCH"</formula1>
    </dataValidation>
  </dataValidations>
  <printOptions horizontalCentered="1"/>
  <pageMargins left="0.39370078740157483" right="0.39370078740157483" top="0.59055118110236227" bottom="0.39370078740157483" header="0.19685039370078741" footer="0.19685039370078741"/>
  <pageSetup paperSize="9" fitToHeight="0" orientation="landscape" horizontalDpi="4294967292" r:id="rId1"/>
  <headerFooter alignWithMargins="0">
    <oddFooter>&amp;C&amp;8Seite &amp;P von &amp;N</oddFooter>
  </headerFooter>
  <customProperties>
    <customPr name="_pios_id" r:id="rId2"/>
  </customProperties>
  <drawing r:id="rId3"/>
  <legacyDrawing r:id="rId4"/>
  <controls>
    <mc:AlternateContent xmlns:mc="http://schemas.openxmlformats.org/markup-compatibility/2006">
      <mc:Choice Requires="x14">
        <control shapeId="7177" r:id="rId5" name="cmdDatenpflege">
          <controlPr defaultSize="0" print="0" autoLine="0" r:id="rId6">
            <anchor moveWithCells="1">
              <from>
                <xdr:col>3</xdr:col>
                <xdr:colOff>1057275</xdr:colOff>
                <xdr:row>4</xdr:row>
                <xdr:rowOff>57150</xdr:rowOff>
              </from>
              <to>
                <xdr:col>4</xdr:col>
                <xdr:colOff>190500</xdr:colOff>
                <xdr:row>5</xdr:row>
                <xdr:rowOff>114300</xdr:rowOff>
              </to>
            </anchor>
          </controlPr>
        </control>
      </mc:Choice>
      <mc:Fallback>
        <control shapeId="7177" r:id="rId5" name="cmdDatenpflege"/>
      </mc:Fallback>
    </mc:AlternateContent>
    <mc:AlternateContent xmlns:mc="http://schemas.openxmlformats.org/markup-compatibility/2006">
      <mc:Choice Requires="x14">
        <control shapeId="7175" r:id="rId7" name="cmdGrunddaten">
          <controlPr defaultSize="0" print="0" autoLine="0" r:id="rId8">
            <anchor moveWithCells="1">
              <from>
                <xdr:col>3</xdr:col>
                <xdr:colOff>295275</xdr:colOff>
                <xdr:row>4</xdr:row>
                <xdr:rowOff>57150</xdr:rowOff>
              </from>
              <to>
                <xdr:col>3</xdr:col>
                <xdr:colOff>542925</xdr:colOff>
                <xdr:row>5</xdr:row>
                <xdr:rowOff>114300</xdr:rowOff>
              </to>
            </anchor>
          </controlPr>
        </control>
      </mc:Choice>
      <mc:Fallback>
        <control shapeId="7175" r:id="rId7" name="cmdGrunddaten"/>
      </mc:Fallback>
    </mc:AlternateContent>
    <mc:AlternateContent xmlns:mc="http://schemas.openxmlformats.org/markup-compatibility/2006">
      <mc:Choice Requires="x14">
        <control shapeId="7173" r:id="rId9" name="cmdHome">
          <controlPr defaultSize="0" print="0" autoLine="0" r:id="rId10">
            <anchor moveWithCells="1">
              <from>
                <xdr:col>2</xdr:col>
                <xdr:colOff>400050</xdr:colOff>
                <xdr:row>4</xdr:row>
                <xdr:rowOff>57150</xdr:rowOff>
              </from>
              <to>
                <xdr:col>2</xdr:col>
                <xdr:colOff>647700</xdr:colOff>
                <xdr:row>5</xdr:row>
                <xdr:rowOff>114300</xdr:rowOff>
              </to>
            </anchor>
          </controlPr>
        </control>
      </mc:Choice>
      <mc:Fallback>
        <control shapeId="7173" r:id="rId9" name="cmdHome"/>
      </mc:Fallback>
    </mc:AlternateContent>
    <mc:AlternateContent xmlns:mc="http://schemas.openxmlformats.org/markup-compatibility/2006">
      <mc:Choice Requires="x14">
        <control shapeId="7172" r:id="rId11" name="cmdBerechnung">
          <controlPr defaultSize="0" print="0" autoLine="0" r:id="rId12">
            <anchor moveWithCells="1">
              <from>
                <xdr:col>3</xdr:col>
                <xdr:colOff>676275</xdr:colOff>
                <xdr:row>4</xdr:row>
                <xdr:rowOff>57150</xdr:rowOff>
              </from>
              <to>
                <xdr:col>3</xdr:col>
                <xdr:colOff>923925</xdr:colOff>
                <xdr:row>5</xdr:row>
                <xdr:rowOff>114300</xdr:rowOff>
              </to>
            </anchor>
          </controlPr>
        </control>
      </mc:Choice>
      <mc:Fallback>
        <control shapeId="7172" r:id="rId11" name="cmdBerechnung"/>
      </mc:Fallback>
    </mc:AlternateContent>
    <mc:AlternateContent xmlns:mc="http://schemas.openxmlformats.org/markup-compatibility/2006">
      <mc:Choice Requires="x14">
        <control shapeId="7171" r:id="rId13" name="cmdInfo">
          <controlPr defaultSize="0" print="0" autoLine="0" r:id="rId14">
            <anchor moveWithCells="1">
              <from>
                <xdr:col>2</xdr:col>
                <xdr:colOff>781050</xdr:colOff>
                <xdr:row>4</xdr:row>
                <xdr:rowOff>57150</xdr:rowOff>
              </from>
              <to>
                <xdr:col>3</xdr:col>
                <xdr:colOff>161925</xdr:colOff>
                <xdr:row>5</xdr:row>
                <xdr:rowOff>114300</xdr:rowOff>
              </to>
            </anchor>
          </controlPr>
        </control>
      </mc:Choice>
      <mc:Fallback>
        <control shapeId="7171" r:id="rId13" name="cmdInfo"/>
      </mc:Fallback>
    </mc:AlternateContent>
    <mc:AlternateContent xmlns:mc="http://schemas.openxmlformats.org/markup-compatibility/2006">
      <mc:Choice Requires="x14">
        <control shapeId="7170" r:id="rId15" name="cmdNeuerEintragPV">
          <controlPr defaultSize="0" print="0" autoFill="0" autoLine="0" r:id="rId16">
            <anchor moveWithCells="1">
              <from>
                <xdr:col>4</xdr:col>
                <xdr:colOff>123825</xdr:colOff>
                <xdr:row>8</xdr:row>
                <xdr:rowOff>76200</xdr:rowOff>
              </from>
              <to>
                <xdr:col>5</xdr:col>
                <xdr:colOff>38100</xdr:colOff>
                <xdr:row>8</xdr:row>
                <xdr:rowOff>323850</xdr:rowOff>
              </to>
            </anchor>
          </controlPr>
        </control>
      </mc:Choice>
      <mc:Fallback>
        <control shapeId="7170" r:id="rId15" name="cmdNeuerEintragPV"/>
      </mc:Fallback>
    </mc:AlternateContent>
    <mc:AlternateContent xmlns:mc="http://schemas.openxmlformats.org/markup-compatibility/2006">
      <mc:Choice Requires="x14">
        <control shapeId="7169" r:id="rId17" name="cmdSichern">
          <controlPr defaultSize="0" print="0" autoLine="0" r:id="rId18">
            <anchor moveWithCells="1">
              <from>
                <xdr:col>11</xdr:col>
                <xdr:colOff>0</xdr:colOff>
                <xdr:row>4</xdr:row>
                <xdr:rowOff>57150</xdr:rowOff>
              </from>
              <to>
                <xdr:col>19</xdr:col>
                <xdr:colOff>219075</xdr:colOff>
                <xdr:row>5</xdr:row>
                <xdr:rowOff>114300</xdr:rowOff>
              </to>
            </anchor>
          </controlPr>
        </control>
      </mc:Choice>
      <mc:Fallback>
        <control shapeId="7169" r:id="rId17" name="cmdSichern"/>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05">
    <pageSetUpPr autoPageBreaks="0" fitToPage="1"/>
  </sheetPr>
  <dimension ref="B2:AG145"/>
  <sheetViews>
    <sheetView showGridLines="0" showRowColHeaders="0" workbookViewId="0">
      <selection activeCell="A4" sqref="A4"/>
    </sheetView>
  </sheetViews>
  <sheetFormatPr baseColWidth="10" defaultColWidth="10.25" defaultRowHeight="15.95" customHeight="1" x14ac:dyDescent="0.2"/>
  <cols>
    <col min="1" max="1" width="4.625" style="69" customWidth="1"/>
    <col min="2" max="2" width="20.625" style="69" customWidth="1"/>
    <col min="3" max="3" width="12.625" style="69" customWidth="1"/>
    <col min="4" max="5" width="16.625" style="69" customWidth="1"/>
    <col min="6" max="6" width="12.625" style="69" customWidth="1"/>
    <col min="7" max="7" width="22.625" style="69" customWidth="1"/>
    <col min="8" max="9" width="12.625" style="69" customWidth="1"/>
    <col min="10" max="16" width="16.625" style="69" customWidth="1"/>
    <col min="17" max="17" width="24.625" style="69" customWidth="1"/>
    <col min="18" max="18" width="16.625" style="69" customWidth="1"/>
    <col min="19" max="24" width="8.625" style="69" customWidth="1"/>
    <col min="25" max="26" width="10.25" style="69"/>
    <col min="27" max="34" width="10.25" style="69" customWidth="1"/>
    <col min="35" max="16384" width="10.25" style="69"/>
  </cols>
  <sheetData>
    <row r="2" spans="2:33" ht="15.95" customHeight="1" x14ac:dyDescent="0.2">
      <c r="B2" s="757" t="s">
        <v>51</v>
      </c>
      <c r="C2" s="293"/>
      <c r="D2" s="745" t="s">
        <v>658</v>
      </c>
      <c r="F2" s="1425" t="s">
        <v>103</v>
      </c>
      <c r="G2" s="1426"/>
      <c r="H2" s="107" t="b">
        <v>1</v>
      </c>
      <c r="I2" s="739" t="s">
        <v>127</v>
      </c>
      <c r="J2" s="107" t="b">
        <v>0</v>
      </c>
      <c r="L2" s="480" t="s">
        <v>172</v>
      </c>
      <c r="M2" s="480" t="str">
        <f>IF(M3=TRUE,"ILB (Intern)",IF(M4=TRUE,"Kunde (Extern)",IF(M5=TRUE,"LBV / MIL (Extern)","Unbekannt")))</f>
        <v>LBV / MIL (Extern)</v>
      </c>
      <c r="O2" s="125" t="s">
        <v>208</v>
      </c>
      <c r="Q2" s="499" t="s">
        <v>451</v>
      </c>
      <c r="R2" s="523" t="s">
        <v>460</v>
      </c>
      <c r="S2" s="1469" t="s">
        <v>669</v>
      </c>
      <c r="T2" s="1469"/>
      <c r="U2" s="1451" t="s">
        <v>579</v>
      </c>
      <c r="V2" s="1452"/>
    </row>
    <row r="3" spans="2:33" ht="15.95" customHeight="1" x14ac:dyDescent="0.2">
      <c r="B3" s="758" t="s">
        <v>358</v>
      </c>
      <c r="C3" s="628" t="b">
        <v>0</v>
      </c>
      <c r="D3" s="107" t="b">
        <v>0</v>
      </c>
      <c r="F3" s="1427" t="s">
        <v>102</v>
      </c>
      <c r="G3" s="1427"/>
      <c r="H3" s="1468" t="s">
        <v>140</v>
      </c>
      <c r="I3" s="1468"/>
      <c r="J3" s="1468"/>
      <c r="L3" s="92" t="s">
        <v>173</v>
      </c>
      <c r="M3" s="107" t="b">
        <v>0</v>
      </c>
      <c r="O3" s="86">
        <f ca="1">IF(OR(J4="",J4="-",J4=O23,M3=FALSE,J4=O48),O5,J4)</f>
        <v>45947</v>
      </c>
      <c r="Q3" s="412">
        <f>IF(Grunddaten!H95="",Grunddaten!R95,ROUNDUP(Grunddaten!H95,0))</f>
        <v>100</v>
      </c>
      <c r="R3" s="412">
        <f>IF(Grunddaten!$H$96="",Grunddaten!$R$96,Grunddaten!$H$96)</f>
        <v>3</v>
      </c>
      <c r="S3" s="1424" t="b">
        <v>1</v>
      </c>
      <c r="T3" s="1424"/>
      <c r="U3" s="1453" t="b">
        <v>1</v>
      </c>
      <c r="V3" s="1454"/>
    </row>
    <row r="4" spans="2:33" ht="15.95" customHeight="1" x14ac:dyDescent="0.2">
      <c r="B4" s="758" t="s">
        <v>359</v>
      </c>
      <c r="C4" s="628" t="b">
        <v>0</v>
      </c>
      <c r="D4" s="745" t="s">
        <v>659</v>
      </c>
      <c r="F4" s="1427" t="s">
        <v>360</v>
      </c>
      <c r="G4" s="1427"/>
      <c r="H4" s="417" t="b">
        <v>1</v>
      </c>
      <c r="I4" s="759" t="s">
        <v>209</v>
      </c>
      <c r="J4" s="106" t="str">
        <f>IF(O49="","-",O49)</f>
        <v>Aktuell gültig</v>
      </c>
      <c r="L4" s="92" t="s">
        <v>174</v>
      </c>
      <c r="M4" s="107" t="b">
        <v>0</v>
      </c>
      <c r="O4" s="125" t="s">
        <v>212</v>
      </c>
      <c r="Q4" s="499" t="s">
        <v>452</v>
      </c>
      <c r="R4" s="523" t="s">
        <v>462</v>
      </c>
      <c r="S4" s="1324" t="s">
        <v>756</v>
      </c>
      <c r="T4" s="1326"/>
      <c r="U4" s="1455" t="s">
        <v>730</v>
      </c>
      <c r="V4" s="1455"/>
    </row>
    <row r="5" spans="2:33" ht="15.95" customHeight="1" x14ac:dyDescent="0.2">
      <c r="B5" s="758" t="s">
        <v>418</v>
      </c>
      <c r="C5" s="107" t="b">
        <v>0</v>
      </c>
      <c r="D5" s="107" t="b">
        <v>0</v>
      </c>
      <c r="F5" s="1427" t="s">
        <v>413</v>
      </c>
      <c r="G5" s="1427"/>
      <c r="H5" s="418" t="str">
        <f>ADDRESS(ROW(Berechnung!C6),COLUMN(Berechnung!C6),1,1)&amp;":"&amp;ADDRESS(ROW(Berechnung!Y158),COLUMN(Berechnung!Y158),1,1)</f>
        <v>$C$6:$Y$158</v>
      </c>
      <c r="I5" s="760" t="s">
        <v>414</v>
      </c>
      <c r="J5" s="419">
        <f>IF(OR($C$4=TRUE,$G$60=TRUE),2,1)</f>
        <v>1</v>
      </c>
      <c r="L5" s="92" t="s">
        <v>175</v>
      </c>
      <c r="M5" s="107" t="b">
        <v>1</v>
      </c>
      <c r="O5" s="86">
        <f ca="1">TODAY()</f>
        <v>45947</v>
      </c>
      <c r="Q5" s="506">
        <f>IF(Grunddaten!H97="",Grunddaten!R97,Grunddaten!H97)</f>
        <v>0.01</v>
      </c>
      <c r="R5" s="418" t="b">
        <f ca="1">IF(AND($G$53=FALSE,$D$47&gt;0),TRUE,FALSE)</f>
        <v>0</v>
      </c>
      <c r="S5" s="1428" t="b">
        <f>O81</f>
        <v>1</v>
      </c>
      <c r="T5" s="1429"/>
      <c r="U5" s="1436" t="b">
        <f>Grunddaten!H40</f>
        <v>1</v>
      </c>
      <c r="V5" s="1436"/>
    </row>
    <row r="7" spans="2:33" ht="15.95" customHeight="1" x14ac:dyDescent="0.2">
      <c r="B7" s="1407" t="s">
        <v>126</v>
      </c>
      <c r="C7" s="1408"/>
      <c r="D7" s="1408"/>
      <c r="E7" s="1408"/>
      <c r="F7" s="1408"/>
      <c r="G7" s="1409"/>
      <c r="H7" s="70"/>
    </row>
    <row r="8" spans="2:33" ht="15.95" customHeight="1" x14ac:dyDescent="0.2">
      <c r="B8" s="1333" t="s">
        <v>125</v>
      </c>
      <c r="C8" s="1334"/>
      <c r="D8" s="1334"/>
      <c r="E8" s="1334"/>
      <c r="F8" s="1335"/>
      <c r="G8" s="105">
        <f>Berechnung!K19</f>
        <v>0</v>
      </c>
      <c r="J8" s="1440" t="s">
        <v>312</v>
      </c>
      <c r="K8" s="1514" t="s">
        <v>196</v>
      </c>
      <c r="L8" s="1515"/>
      <c r="M8" s="1440" t="s">
        <v>195</v>
      </c>
      <c r="N8" s="1345" t="s">
        <v>190</v>
      </c>
      <c r="O8" s="1346"/>
      <c r="P8" s="1351" t="s">
        <v>35</v>
      </c>
      <c r="Q8" s="1351" t="s">
        <v>36</v>
      </c>
      <c r="R8" s="1351" t="s">
        <v>34</v>
      </c>
      <c r="S8" s="1521" t="s">
        <v>327</v>
      </c>
      <c r="T8" s="1521"/>
      <c r="U8" s="1521"/>
      <c r="V8" s="1521"/>
      <c r="W8" s="1521"/>
      <c r="X8" s="1521"/>
      <c r="Y8" s="1332" t="s">
        <v>783</v>
      </c>
      <c r="Z8" s="1332"/>
      <c r="AA8" s="1324" t="s">
        <v>39</v>
      </c>
      <c r="AB8" s="1325"/>
      <c r="AC8" s="1325"/>
      <c r="AD8" s="1325"/>
      <c r="AE8" s="1325"/>
      <c r="AF8" s="1325"/>
      <c r="AG8" s="1326"/>
    </row>
    <row r="9" spans="2:33" ht="15.95" customHeight="1" x14ac:dyDescent="0.2">
      <c r="B9" s="1467" t="s">
        <v>124</v>
      </c>
      <c r="C9" s="1467"/>
      <c r="D9" s="1467"/>
      <c r="E9" s="1467"/>
      <c r="F9" s="1467"/>
      <c r="G9" s="104">
        <f>D72</f>
        <v>3000</v>
      </c>
      <c r="J9" s="1328"/>
      <c r="K9" s="1516"/>
      <c r="L9" s="1517"/>
      <c r="M9" s="1328"/>
      <c r="N9" s="1347"/>
      <c r="O9" s="1348"/>
      <c r="P9" s="1351"/>
      <c r="Q9" s="1351"/>
      <c r="R9" s="1351"/>
      <c r="S9" s="1332" t="s">
        <v>330</v>
      </c>
      <c r="T9" s="1332"/>
      <c r="U9" s="1332"/>
      <c r="V9" s="1332" t="s">
        <v>331</v>
      </c>
      <c r="W9" s="1332"/>
      <c r="X9" s="1332"/>
      <c r="Y9" s="1328" t="s">
        <v>781</v>
      </c>
      <c r="Z9" s="1328" t="s">
        <v>782</v>
      </c>
      <c r="AA9" s="1327" t="s">
        <v>740</v>
      </c>
      <c r="AB9" s="1327" t="s">
        <v>738</v>
      </c>
      <c r="AC9" s="1327" t="s">
        <v>752</v>
      </c>
      <c r="AD9" s="1324" t="s">
        <v>739</v>
      </c>
      <c r="AE9" s="1325"/>
      <c r="AF9" s="1325"/>
      <c r="AG9" s="1326"/>
    </row>
    <row r="10" spans="2:33" ht="15.95" customHeight="1" x14ac:dyDescent="0.2">
      <c r="B10" s="1467" t="s">
        <v>123</v>
      </c>
      <c r="C10" s="1467"/>
      <c r="D10" s="1467"/>
      <c r="E10" s="1467"/>
      <c r="F10" s="1467"/>
      <c r="G10" s="104">
        <f>IF(Berechnung!I44="",0,Berechnung!I44)</f>
        <v>0</v>
      </c>
      <c r="J10" s="1328"/>
      <c r="K10" s="1518"/>
      <c r="L10" s="1519"/>
      <c r="M10" s="1328"/>
      <c r="N10" s="1347"/>
      <c r="O10" s="1348"/>
      <c r="P10" s="1351"/>
      <c r="Q10" s="1351"/>
      <c r="R10" s="1351"/>
      <c r="S10" s="1521" t="s">
        <v>328</v>
      </c>
      <c r="T10" s="1521" t="s">
        <v>329</v>
      </c>
      <c r="U10" s="1521" t="s">
        <v>747</v>
      </c>
      <c r="V10" s="1521" t="s">
        <v>328</v>
      </c>
      <c r="W10" s="1521" t="s">
        <v>329</v>
      </c>
      <c r="X10" s="1521" t="s">
        <v>747</v>
      </c>
      <c r="Y10" s="1328"/>
      <c r="Z10" s="1328"/>
      <c r="AA10" s="1328"/>
      <c r="AB10" s="1328"/>
      <c r="AC10" s="1328"/>
      <c r="AD10" s="1330" t="s">
        <v>328</v>
      </c>
      <c r="AE10" s="1330" t="s">
        <v>329</v>
      </c>
      <c r="AF10" s="1330" t="s">
        <v>747</v>
      </c>
      <c r="AG10" s="1330" t="s">
        <v>748</v>
      </c>
    </row>
    <row r="11" spans="2:33" ht="15.95" customHeight="1" x14ac:dyDescent="0.2">
      <c r="B11" s="1467" t="s">
        <v>122</v>
      </c>
      <c r="C11" s="1467"/>
      <c r="D11" s="1467"/>
      <c r="E11" s="1467"/>
      <c r="F11" s="1467"/>
      <c r="G11" s="104">
        <f>IF(Berechnung!V44="",0,Berechnung!V44)</f>
        <v>0</v>
      </c>
      <c r="J11" s="1329"/>
      <c r="K11" s="879" t="str">
        <f>"'Daten'!"&amp;ADDRESS(ROW(K12),COLUMN(K12),1)&amp;":"&amp;ADDRESS(ROW(K12)+COUNTA(K12:K19)-1,COLUMN(K12),1)</f>
        <v>'Daten'!$K$12:$K$17</v>
      </c>
      <c r="L11" s="881">
        <v>5</v>
      </c>
      <c r="M11" s="1329"/>
      <c r="N11" s="1349"/>
      <c r="O11" s="1350"/>
      <c r="P11" s="1351"/>
      <c r="Q11" s="1351"/>
      <c r="R11" s="1351"/>
      <c r="S11" s="1521"/>
      <c r="T11" s="1521"/>
      <c r="U11" s="1521"/>
      <c r="V11" s="1521"/>
      <c r="W11" s="1521"/>
      <c r="X11" s="1521"/>
      <c r="Y11" s="1329"/>
      <c r="Z11" s="1329"/>
      <c r="AA11" s="1329"/>
      <c r="AB11" s="1329"/>
      <c r="AC11" s="1329"/>
      <c r="AD11" s="1331"/>
      <c r="AE11" s="1331"/>
      <c r="AF11" s="1331"/>
      <c r="AG11" s="1331"/>
    </row>
    <row r="12" spans="2:33" ht="15.95" customHeight="1" x14ac:dyDescent="0.2">
      <c r="B12" s="1467" t="s">
        <v>417</v>
      </c>
      <c r="C12" s="1467"/>
      <c r="D12" s="1467"/>
      <c r="E12" s="1467"/>
      <c r="F12" s="1467"/>
      <c r="G12" s="104">
        <f>IF(AND(M3=TRUE,Berechnung!$V$74&lt;&gt;""),MIN(G11,Berechnung!$V$74),G11)</f>
        <v>0</v>
      </c>
      <c r="J12" s="1464">
        <f>IF(COUNTIF(L12:L19,TRUE)=0,"...",INDEX($K$12:$K$19,MATCH(TRUE,$L$12:$L$19,0),1))</f>
        <v>45261</v>
      </c>
      <c r="K12" s="98">
        <v>42423</v>
      </c>
      <c r="L12" s="107" t="b">
        <v>0</v>
      </c>
      <c r="M12" s="1437" t="b">
        <f>IF(L12=TRUE,TRUE,FALSE)</f>
        <v>0</v>
      </c>
      <c r="N12" s="275"/>
      <c r="O12" s="274"/>
      <c r="P12" s="882">
        <v>1800</v>
      </c>
      <c r="Q12" s="882">
        <v>1450</v>
      </c>
      <c r="R12" s="882">
        <v>1100</v>
      </c>
      <c r="S12" s="900">
        <v>5.5</v>
      </c>
      <c r="T12" s="900">
        <v>7</v>
      </c>
      <c r="U12" s="900">
        <v>0</v>
      </c>
      <c r="V12" s="900">
        <v>4.9000000000000004</v>
      </c>
      <c r="W12" s="900">
        <v>6</v>
      </c>
      <c r="X12" s="900">
        <v>0</v>
      </c>
      <c r="Y12" s="882">
        <f>P12-Q12</f>
        <v>350</v>
      </c>
      <c r="Z12" s="898">
        <v>25</v>
      </c>
      <c r="AA12" s="886">
        <v>75</v>
      </c>
      <c r="AB12" s="886">
        <v>50</v>
      </c>
      <c r="AC12" s="886">
        <v>50</v>
      </c>
      <c r="AD12" s="886">
        <v>50</v>
      </c>
      <c r="AE12" s="886">
        <v>50</v>
      </c>
      <c r="AF12" s="886">
        <v>0</v>
      </c>
      <c r="AG12" s="898">
        <f t="shared" ref="AG12:AG19" si="0">IF(K12="","",SUMPRODUCT((AD12:AF12&gt;0)*1))</f>
        <v>2</v>
      </c>
    </row>
    <row r="13" spans="2:33" ht="15.95" customHeight="1" x14ac:dyDescent="0.2">
      <c r="B13" s="1467" t="s">
        <v>121</v>
      </c>
      <c r="C13" s="1467"/>
      <c r="D13" s="1467"/>
      <c r="E13" s="1467"/>
      <c r="F13" s="1467"/>
      <c r="G13" s="104">
        <f>SUM(Berechnung!V48:X52)</f>
        <v>0</v>
      </c>
      <c r="J13" s="1465"/>
      <c r="K13" s="98">
        <v>42802</v>
      </c>
      <c r="L13" s="107" t="b">
        <v>0</v>
      </c>
      <c r="M13" s="1438"/>
      <c r="N13" s="275" t="s">
        <v>697</v>
      </c>
      <c r="O13" s="274"/>
      <c r="P13" s="882">
        <v>1800</v>
      </c>
      <c r="Q13" s="882">
        <v>1450</v>
      </c>
      <c r="R13" s="882">
        <v>1100</v>
      </c>
      <c r="S13" s="900">
        <v>5.5</v>
      </c>
      <c r="T13" s="900">
        <v>7</v>
      </c>
      <c r="U13" s="900">
        <v>0</v>
      </c>
      <c r="V13" s="900">
        <v>4.9000000000000004</v>
      </c>
      <c r="W13" s="900">
        <v>6</v>
      </c>
      <c r="X13" s="900">
        <v>0</v>
      </c>
      <c r="Y13" s="882">
        <f>P13-Q13</f>
        <v>350</v>
      </c>
      <c r="Z13" s="898">
        <v>25</v>
      </c>
      <c r="AA13" s="886">
        <v>75</v>
      </c>
      <c r="AB13" s="886">
        <v>50</v>
      </c>
      <c r="AC13" s="886">
        <v>50</v>
      </c>
      <c r="AD13" s="886">
        <v>50</v>
      </c>
      <c r="AE13" s="886">
        <v>50</v>
      </c>
      <c r="AF13" s="886">
        <v>0</v>
      </c>
      <c r="AG13" s="898">
        <f t="shared" si="0"/>
        <v>2</v>
      </c>
    </row>
    <row r="14" spans="2:33" ht="15.95" customHeight="1" x14ac:dyDescent="0.2">
      <c r="B14" s="1467" t="s">
        <v>120</v>
      </c>
      <c r="C14" s="1467"/>
      <c r="D14" s="1467"/>
      <c r="E14" s="1467"/>
      <c r="F14" s="1467"/>
      <c r="G14" s="104">
        <f>IF(Berechnung!V35="",0,Berechnung!V35)</f>
        <v>0</v>
      </c>
      <c r="J14" s="1465"/>
      <c r="K14" s="98">
        <v>43329</v>
      </c>
      <c r="L14" s="107" t="b">
        <v>0</v>
      </c>
      <c r="M14" s="1438"/>
      <c r="N14" s="275" t="s">
        <v>698</v>
      </c>
      <c r="O14" s="274"/>
      <c r="P14" s="882">
        <v>2500</v>
      </c>
      <c r="Q14" s="882">
        <v>2150</v>
      </c>
      <c r="R14" s="882">
        <v>1800</v>
      </c>
      <c r="S14" s="900">
        <v>5.5</v>
      </c>
      <c r="T14" s="900">
        <v>7</v>
      </c>
      <c r="U14" s="900">
        <v>0</v>
      </c>
      <c r="V14" s="900">
        <v>4.9000000000000004</v>
      </c>
      <c r="W14" s="900">
        <v>6</v>
      </c>
      <c r="X14" s="900">
        <v>0</v>
      </c>
      <c r="Y14" s="882">
        <f>P14-Q14</f>
        <v>350</v>
      </c>
      <c r="Z14" s="898">
        <v>25</v>
      </c>
      <c r="AA14" s="886">
        <v>75</v>
      </c>
      <c r="AB14" s="886">
        <v>50</v>
      </c>
      <c r="AC14" s="886">
        <v>50</v>
      </c>
      <c r="AD14" s="886">
        <v>50</v>
      </c>
      <c r="AE14" s="886">
        <v>50</v>
      </c>
      <c r="AF14" s="886">
        <v>0</v>
      </c>
      <c r="AG14" s="898">
        <f t="shared" si="0"/>
        <v>2</v>
      </c>
    </row>
    <row r="15" spans="2:33" ht="15.95" customHeight="1" x14ac:dyDescent="0.2">
      <c r="B15" s="1467" t="s">
        <v>119</v>
      </c>
      <c r="C15" s="1467"/>
      <c r="D15" s="1467"/>
      <c r="E15" s="1467"/>
      <c r="F15" s="1467"/>
      <c r="G15" s="104">
        <f>Berechnung!V58</f>
        <v>0</v>
      </c>
      <c r="J15" s="1465"/>
      <c r="K15" s="98">
        <v>43748</v>
      </c>
      <c r="L15" s="107" t="b">
        <v>0</v>
      </c>
      <c r="M15" s="1438"/>
      <c r="N15" s="275"/>
      <c r="O15" s="274"/>
      <c r="P15" s="882">
        <v>2500</v>
      </c>
      <c r="Q15" s="882">
        <v>2150</v>
      </c>
      <c r="R15" s="882">
        <v>1800</v>
      </c>
      <c r="S15" s="900">
        <v>5.5</v>
      </c>
      <c r="T15" s="900">
        <v>7</v>
      </c>
      <c r="U15" s="900">
        <v>0</v>
      </c>
      <c r="V15" s="900">
        <v>4.9000000000000004</v>
      </c>
      <c r="W15" s="900">
        <v>6</v>
      </c>
      <c r="X15" s="900">
        <v>0</v>
      </c>
      <c r="Y15" s="882">
        <f>P15-Q15</f>
        <v>350</v>
      </c>
      <c r="Z15" s="898">
        <v>25</v>
      </c>
      <c r="AA15" s="886">
        <v>75</v>
      </c>
      <c r="AB15" s="886">
        <v>50</v>
      </c>
      <c r="AC15" s="886">
        <v>50</v>
      </c>
      <c r="AD15" s="886">
        <v>50</v>
      </c>
      <c r="AE15" s="886">
        <v>50</v>
      </c>
      <c r="AF15" s="886">
        <v>0</v>
      </c>
      <c r="AG15" s="898">
        <f t="shared" si="0"/>
        <v>2</v>
      </c>
    </row>
    <row r="16" spans="2:33" ht="15.95" customHeight="1" x14ac:dyDescent="0.2">
      <c r="B16" s="1467" t="s">
        <v>118</v>
      </c>
      <c r="C16" s="1467"/>
      <c r="D16" s="1467"/>
      <c r="E16" s="1467"/>
      <c r="F16" s="1467"/>
      <c r="G16" s="104">
        <f ca="1">SUM(Berechnung!V67:X70)</f>
        <v>0</v>
      </c>
      <c r="J16" s="1465"/>
      <c r="K16" s="98">
        <v>44637</v>
      </c>
      <c r="L16" s="107" t="b">
        <v>0</v>
      </c>
      <c r="M16" s="1438"/>
      <c r="N16" s="275" t="s">
        <v>696</v>
      </c>
      <c r="O16" s="274"/>
      <c r="P16" s="882">
        <v>2800</v>
      </c>
      <c r="Q16" s="882">
        <v>2450</v>
      </c>
      <c r="R16" s="882">
        <v>1800</v>
      </c>
      <c r="S16" s="900">
        <v>6</v>
      </c>
      <c r="T16" s="900">
        <v>7.5</v>
      </c>
      <c r="U16" s="900">
        <v>0</v>
      </c>
      <c r="V16" s="900">
        <v>5.4</v>
      </c>
      <c r="W16" s="900">
        <v>6.5</v>
      </c>
      <c r="X16" s="900">
        <v>0</v>
      </c>
      <c r="Y16" s="882">
        <f>P16-Q16</f>
        <v>350</v>
      </c>
      <c r="Z16" s="898">
        <v>25</v>
      </c>
      <c r="AA16" s="886">
        <v>75</v>
      </c>
      <c r="AB16" s="886">
        <v>50</v>
      </c>
      <c r="AC16" s="886">
        <v>50</v>
      </c>
      <c r="AD16" s="886">
        <v>50</v>
      </c>
      <c r="AE16" s="886">
        <v>50</v>
      </c>
      <c r="AF16" s="886">
        <v>0</v>
      </c>
      <c r="AG16" s="898">
        <f t="shared" si="0"/>
        <v>2</v>
      </c>
    </row>
    <row r="17" spans="2:33" ht="15.95" customHeight="1" x14ac:dyDescent="0.2">
      <c r="B17" s="1467" t="s">
        <v>117</v>
      </c>
      <c r="C17" s="1467"/>
      <c r="D17" s="1467"/>
      <c r="E17" s="1467"/>
      <c r="F17" s="1467"/>
      <c r="G17" s="104">
        <f>SUM(Berechnung!V76:X77)</f>
        <v>0</v>
      </c>
      <c r="J17" s="1465"/>
      <c r="K17" s="899">
        <v>45261</v>
      </c>
      <c r="L17" s="107" t="b">
        <v>1</v>
      </c>
      <c r="M17" s="1438"/>
      <c r="N17" s="275"/>
      <c r="O17" s="274"/>
      <c r="P17" s="883">
        <v>3000</v>
      </c>
      <c r="Q17" s="883">
        <v>3000</v>
      </c>
      <c r="R17" s="883">
        <v>2000</v>
      </c>
      <c r="S17" s="900">
        <v>6.5</v>
      </c>
      <c r="T17" s="900">
        <v>9</v>
      </c>
      <c r="U17" s="900">
        <v>12</v>
      </c>
      <c r="V17" s="900">
        <v>6</v>
      </c>
      <c r="W17" s="900">
        <v>8</v>
      </c>
      <c r="X17" s="900">
        <v>10</v>
      </c>
      <c r="Y17" s="882">
        <v>200</v>
      </c>
      <c r="Z17" s="898">
        <v>35</v>
      </c>
      <c r="AA17" s="886">
        <v>100</v>
      </c>
      <c r="AB17" s="886">
        <v>100</v>
      </c>
      <c r="AC17" s="886">
        <v>100</v>
      </c>
      <c r="AD17" s="886">
        <v>45</v>
      </c>
      <c r="AE17" s="886">
        <v>30</v>
      </c>
      <c r="AF17" s="886">
        <f>ROUND(100-AD17-AE17,2)</f>
        <v>25</v>
      </c>
      <c r="AG17" s="898">
        <f t="shared" si="0"/>
        <v>3</v>
      </c>
    </row>
    <row r="18" spans="2:33" ht="15.95" customHeight="1" x14ac:dyDescent="0.2">
      <c r="B18" s="1472" t="s">
        <v>116</v>
      </c>
      <c r="C18" s="1473"/>
      <c r="D18" s="1474"/>
      <c r="E18" s="71" t="s">
        <v>13</v>
      </c>
      <c r="F18" s="71" t="s">
        <v>14</v>
      </c>
      <c r="G18" s="72" t="s">
        <v>115</v>
      </c>
      <c r="J18" s="1465"/>
      <c r="K18" s="88"/>
      <c r="L18" s="107"/>
      <c r="M18" s="1438"/>
      <c r="N18" s="275"/>
      <c r="O18" s="274"/>
      <c r="P18" s="883"/>
      <c r="Q18" s="883"/>
      <c r="R18" s="883"/>
      <c r="S18" s="900"/>
      <c r="T18" s="900"/>
      <c r="U18" s="900"/>
      <c r="V18" s="900"/>
      <c r="W18" s="900"/>
      <c r="X18" s="900"/>
      <c r="Y18" s="882"/>
      <c r="Z18" s="898"/>
      <c r="AA18" s="886"/>
      <c r="AB18" s="886"/>
      <c r="AC18" s="901"/>
      <c r="AD18" s="886"/>
      <c r="AE18" s="886"/>
      <c r="AF18" s="886"/>
      <c r="AG18" s="898" t="str">
        <f t="shared" si="0"/>
        <v/>
      </c>
    </row>
    <row r="19" spans="2:33" ht="15.95" customHeight="1" x14ac:dyDescent="0.2">
      <c r="B19" s="1333" t="s">
        <v>134</v>
      </c>
      <c r="C19" s="1334"/>
      <c r="D19" s="1335"/>
      <c r="E19" s="103">
        <f>Berechnung!Q63</f>
        <v>0</v>
      </c>
      <c r="F19" s="103">
        <f>Berechnung!S63</f>
        <v>0</v>
      </c>
      <c r="G19" s="103">
        <f>SUM(E19:F19)</f>
        <v>0</v>
      </c>
      <c r="J19" s="1466"/>
      <c r="K19" s="88"/>
      <c r="L19" s="107"/>
      <c r="M19" s="1439"/>
      <c r="N19" s="275"/>
      <c r="O19" s="274"/>
      <c r="P19" s="883"/>
      <c r="Q19" s="883"/>
      <c r="R19" s="883"/>
      <c r="S19" s="900"/>
      <c r="T19" s="900"/>
      <c r="U19" s="900"/>
      <c r="V19" s="900"/>
      <c r="W19" s="900"/>
      <c r="X19" s="900"/>
      <c r="Y19" s="882"/>
      <c r="Z19" s="898"/>
      <c r="AA19" s="886"/>
      <c r="AB19" s="886"/>
      <c r="AC19" s="901"/>
      <c r="AD19" s="886"/>
      <c r="AE19" s="886"/>
      <c r="AF19" s="886"/>
      <c r="AG19" s="898" t="str">
        <f t="shared" si="0"/>
        <v/>
      </c>
    </row>
    <row r="20" spans="2:33" ht="15.95" customHeight="1" x14ac:dyDescent="0.2">
      <c r="B20" s="1333" t="s">
        <v>437</v>
      </c>
      <c r="C20" s="1334"/>
      <c r="D20" s="1335"/>
      <c r="E20" s="103">
        <f>Berechnung!Q59</f>
        <v>0.5</v>
      </c>
      <c r="F20" s="103">
        <f>Berechnung!S59</f>
        <v>2</v>
      </c>
      <c r="G20" s="103">
        <f>SUM(E20:F20)</f>
        <v>2.5</v>
      </c>
    </row>
    <row r="21" spans="2:33" ht="15.95" customHeight="1" x14ac:dyDescent="0.2">
      <c r="B21" s="1333" t="str">
        <f>IF(Berechnung!D62="","-",Berechnung!D62)</f>
        <v>-</v>
      </c>
      <c r="C21" s="1334"/>
      <c r="D21" s="1335"/>
      <c r="E21" s="103">
        <f>Berechnung!Q62</f>
        <v>0</v>
      </c>
      <c r="F21" s="103">
        <f>Berechnung!S62</f>
        <v>0</v>
      </c>
      <c r="G21" s="103">
        <f>SUM(E21:F21)</f>
        <v>0</v>
      </c>
    </row>
    <row r="22" spans="2:33" ht="15.95" customHeight="1" x14ac:dyDescent="0.2">
      <c r="B22" s="1333" t="s">
        <v>132</v>
      </c>
      <c r="C22" s="1334"/>
      <c r="D22" s="1335"/>
      <c r="E22" s="73">
        <v>0</v>
      </c>
      <c r="F22" s="73">
        <v>0</v>
      </c>
      <c r="G22" s="103">
        <f>SUM(E22:F22)</f>
        <v>0</v>
      </c>
      <c r="J22" s="285" t="s">
        <v>6</v>
      </c>
      <c r="K22" s="257"/>
      <c r="L22" s="286" t="s">
        <v>7</v>
      </c>
      <c r="M22" s="286" t="s">
        <v>8</v>
      </c>
      <c r="O22" s="284" t="str">
        <f ca="1">IF(O50=TRUE,"Daten!"&amp;SUBSTITUTE(ADDRESS(1,COLUMN(O48),4),1,)&amp;ROW(O48)&amp;":"&amp;SUBSTITUTE(ADDRESS(1,COLUMN(O48),4),1,)&amp;ROW(O48),"Daten!"&amp;SUBSTITUTE(ADDRESS(1,COLUMN(O23),4),1,)&amp;ROW(O23)&amp;":"&amp;SUBSTITUTE(ADDRESS(1,COLUMN(O23),4),1,)&amp;(COUNT(O24:O46)+ROW(O23)))</f>
        <v>Daten!O23:O27</v>
      </c>
      <c r="R22" s="740" t="s">
        <v>317</v>
      </c>
      <c r="S22" s="741" t="s">
        <v>319</v>
      </c>
      <c r="T22" s="741" t="s">
        <v>319</v>
      </c>
      <c r="U22" s="741" t="s">
        <v>315</v>
      </c>
      <c r="V22" s="741" t="s">
        <v>316</v>
      </c>
      <c r="X22" s="1522" t="s">
        <v>787</v>
      </c>
      <c r="Y22" s="1522"/>
      <c r="Z22" s="1522"/>
      <c r="AA22" s="1522"/>
      <c r="AB22" s="1522"/>
      <c r="AC22" s="1522"/>
      <c r="AD22" s="1522"/>
      <c r="AE22" s="1522"/>
      <c r="AF22" s="1522"/>
      <c r="AG22" s="1522"/>
    </row>
    <row r="23" spans="2:33" ht="15.95" customHeight="1" x14ac:dyDescent="0.2">
      <c r="B23" s="1333" t="s">
        <v>133</v>
      </c>
      <c r="C23" s="1334"/>
      <c r="D23" s="1335"/>
      <c r="E23" s="73">
        <v>0</v>
      </c>
      <c r="F23" s="73">
        <v>0</v>
      </c>
      <c r="G23" s="103">
        <f>SUM(E23:F23)</f>
        <v>0</v>
      </c>
      <c r="J23" s="258" t="s">
        <v>307</v>
      </c>
      <c r="K23" s="126"/>
      <c r="L23" s="126"/>
      <c r="M23" s="127"/>
      <c r="O23" s="111" t="s">
        <v>211</v>
      </c>
      <c r="R23" s="1435" t="s">
        <v>324</v>
      </c>
      <c r="S23" s="1435"/>
      <c r="T23" s="1435"/>
      <c r="U23" s="1435"/>
      <c r="V23" s="1435"/>
      <c r="X23" s="1380" t="str">
        <f>IF(OR(Daten!$M$83="",Daten!$M$83=0),"",IF($L$17=TRUE,"Von den notwendigen Bindungen sind mindestens "&amp;TEXT(AD17,"#.##0,00")&amp;"% der WE an Berechtigte zu überlassen, welche die Einkommensgrenze des §22 (2) BbgWoFG einhalten (1. EK-Grenze)."&amp;" Für "&amp;TEXT(AE17,"#.##0,00")&amp;"% der gebundenen WE darf diese Einkommensgrenze um nicht mehr als "&amp;TEXT(AF25,"#.##")&amp;"% überschritten werden (2. EK-Grenze) und die verbleibenden "&amp;TEXT(AF17,"#.##0,00")&amp;"% dürfen diese Einkommensgrenze um nicht mehr als "&amp;TEXT(AF26,"#.##")&amp;"% überschreiten (3. EK-Grenze).","Von den notwendigen Bindungen ist mindestens die Hälfte der WE an Berechtigte zu überlassen, welche die Einkommensgrenze des §22 (2) BbgWoFG einhalten (1. EK-Grenze)."&amp;" Für die übrigen gebundenen WE darf diese Einkommensgrenze um nicht mehr als 20% überschritten werden (2. EK-Grenze)."))</f>
        <v>Von den notwendigen Bindungen sind mindestens 45,00% der WE an Berechtigte zu überlassen, welche die Einkommensgrenze des §22 (2) BbgWoFG einhalten (1. EK-Grenze). Für 30,00% der gebundenen WE darf diese Einkommensgrenze um nicht mehr als 40% überschritten werden (2. EK-Grenze) und die verbleibenden 25,00% dürfen diese Einkommensgrenze um nicht mehr als 60% überschreiten (3. EK-Grenze).</v>
      </c>
      <c r="Y23" s="1381"/>
      <c r="Z23" s="1381"/>
      <c r="AA23" s="1381"/>
      <c r="AB23" s="1381"/>
      <c r="AC23" s="1382"/>
      <c r="AD23" s="913">
        <v>20</v>
      </c>
      <c r="AE23" s="913" t="s">
        <v>791</v>
      </c>
      <c r="AF23" s="898">
        <v>0</v>
      </c>
      <c r="AG23" s="898">
        <v>1</v>
      </c>
    </row>
    <row r="24" spans="2:33" ht="15.95" customHeight="1" x14ac:dyDescent="0.2">
      <c r="B24" s="1333" t="s">
        <v>348</v>
      </c>
      <c r="C24" s="1334"/>
      <c r="D24" s="1334"/>
      <c r="E24" s="1334"/>
      <c r="F24" s="1335"/>
      <c r="G24" s="104">
        <f>IF(Berechnung!$V$85="",0,Berechnung!$V$85)</f>
        <v>0</v>
      </c>
      <c r="J24" s="259" t="s">
        <v>113</v>
      </c>
      <c r="K24" s="253"/>
      <c r="L24" s="74" t="b">
        <v>1</v>
      </c>
      <c r="M24" s="101" t="b">
        <f>IF(OR($M$83="",$M$83=0),FALSE,TRUE)</f>
        <v>1</v>
      </c>
      <c r="N24" s="321" t="str">
        <f t="shared" ref="N24:N34" si="1">IF(L24&lt;&gt;M24,"i","")</f>
        <v/>
      </c>
      <c r="O24" s="106">
        <f ca="1">IF(OR(O23="",O23=$O$48),"",IF(AND(COUNTIF($O$23:O23,"&lt;&gt;")&gt;$O$47,$M$3=TRUE,$O$50=TRUE),$O$48,IF(Grunddaten!B11="","",Grunddaten!B11)))</f>
        <v>41640</v>
      </c>
      <c r="R24" s="260" t="s">
        <v>143</v>
      </c>
      <c r="S24" s="88">
        <f>COLUMN(Startseite!Y1)</f>
        <v>25</v>
      </c>
      <c r="T24" s="88" t="str">
        <f>SUBSTITUTE(ADDRESS(1,S24,4),1,)</f>
        <v>Y</v>
      </c>
      <c r="U24" s="88">
        <f>ROW(Startseite!Y1)</f>
        <v>1</v>
      </c>
      <c r="V24" s="88">
        <f>ROW(Startseite!Y64)</f>
        <v>64</v>
      </c>
      <c r="X24" s="1523"/>
      <c r="Y24" s="1524"/>
      <c r="Z24" s="1524"/>
      <c r="AA24" s="1524"/>
      <c r="AB24" s="1524"/>
      <c r="AC24" s="1525"/>
      <c r="AD24" s="913">
        <v>25</v>
      </c>
      <c r="AE24" s="913" t="s">
        <v>788</v>
      </c>
      <c r="AF24" s="913">
        <v>20</v>
      </c>
      <c r="AG24" s="898">
        <f>IF($L$17=FALSE,2,0)</f>
        <v>0</v>
      </c>
    </row>
    <row r="25" spans="2:33" ht="15.95" customHeight="1" x14ac:dyDescent="0.2">
      <c r="B25" s="1333" t="s">
        <v>114</v>
      </c>
      <c r="C25" s="1334"/>
      <c r="D25" s="1334"/>
      <c r="E25" s="1334"/>
      <c r="F25" s="1335"/>
      <c r="G25" s="104">
        <f>Grunddaten!H48</f>
        <v>120</v>
      </c>
      <c r="J25" s="259" t="s">
        <v>136</v>
      </c>
      <c r="K25" s="253"/>
      <c r="L25" s="74" t="b">
        <v>1</v>
      </c>
      <c r="M25" s="101" t="b">
        <f>IF(Berechnung!$G$14&lt;&gt;"",TRUE,FALSE)</f>
        <v>0</v>
      </c>
      <c r="N25" s="321" t="str">
        <f t="shared" si="1"/>
        <v>i</v>
      </c>
      <c r="O25" s="106">
        <f ca="1">IF(OR(O24="",O24=$O$48),"",IF(AND(COUNTIF($O$23:O24,"&lt;&gt;")&gt;$O$47,$M$3=TRUE,$O$50=TRUE),$O$48,IF(Grunddaten!B12="","",Grunddaten!B12)))</f>
        <v>42736</v>
      </c>
      <c r="R25" s="260" t="s">
        <v>140</v>
      </c>
      <c r="S25" s="88">
        <f>COLUMN(Berechnung!AB1)</f>
        <v>28</v>
      </c>
      <c r="T25" s="88" t="str">
        <f t="shared" ref="T25:T27" si="2">SUBSTITUTE(ADDRESS(1,S25,4),1,)</f>
        <v>AB</v>
      </c>
      <c r="U25" s="88">
        <f>ROW(Berechnung!AB1)</f>
        <v>1</v>
      </c>
      <c r="V25" s="88">
        <f>ROW(Berechnung!AB159)</f>
        <v>159</v>
      </c>
      <c r="X25" s="1523"/>
      <c r="Y25" s="1524"/>
      <c r="Z25" s="1524"/>
      <c r="AA25" s="1524"/>
      <c r="AB25" s="1524"/>
      <c r="AC25" s="1525"/>
      <c r="AD25" s="913">
        <v>50</v>
      </c>
      <c r="AE25" s="913" t="s">
        <v>789</v>
      </c>
      <c r="AF25" s="913">
        <v>40</v>
      </c>
      <c r="AG25" s="898">
        <f>IF($L$17=TRUE,2,0)</f>
        <v>2</v>
      </c>
    </row>
    <row r="26" spans="2:33" ht="15.95" customHeight="1" x14ac:dyDescent="0.2">
      <c r="B26" s="1321" t="s">
        <v>113</v>
      </c>
      <c r="C26" s="893" t="s">
        <v>18</v>
      </c>
      <c r="D26" s="894"/>
      <c r="E26" s="894"/>
      <c r="F26" s="895"/>
      <c r="G26" s="102" t="b">
        <f t="shared" ref="G26:G29" si="3">M75</f>
        <v>0</v>
      </c>
      <c r="J26" s="259" t="s">
        <v>1</v>
      </c>
      <c r="K26" s="253"/>
      <c r="L26" s="74" t="b">
        <v>1</v>
      </c>
      <c r="M26" s="101" t="b">
        <f>IF(Berechnung!$G$15&lt;&gt;"",TRUE,FALSE)</f>
        <v>0</v>
      </c>
      <c r="N26" s="321" t="str">
        <f t="shared" si="1"/>
        <v>i</v>
      </c>
      <c r="O26" s="106">
        <f ca="1">IF(OR(O25="",O25=$O$48),"",IF(AND(COUNTIF($O$23:O25,"&lt;&gt;")&gt;$O$47,$M$3=TRUE,$O$50=TRUE),$O$48,IF(Grunddaten!B13="","",Grunddaten!B13)))</f>
        <v>43831</v>
      </c>
      <c r="R26" s="260" t="s">
        <v>318</v>
      </c>
      <c r="S26" s="88">
        <f>COLUMN(Programmversionen!M1)</f>
        <v>13</v>
      </c>
      <c r="T26" s="88" t="str">
        <f t="shared" si="2"/>
        <v>M</v>
      </c>
      <c r="U26" s="88">
        <f>ROW(Programmversionen!M1)</f>
        <v>1</v>
      </c>
      <c r="V26" s="88">
        <f>ROW(Programmversionen!M109)</f>
        <v>109</v>
      </c>
      <c r="X26" s="1523"/>
      <c r="Y26" s="1524"/>
      <c r="Z26" s="1524"/>
      <c r="AA26" s="1524"/>
      <c r="AB26" s="1524"/>
      <c r="AC26" s="1525"/>
      <c r="AD26" s="913">
        <v>75</v>
      </c>
      <c r="AE26" s="913" t="s">
        <v>790</v>
      </c>
      <c r="AF26" s="913">
        <v>60</v>
      </c>
      <c r="AG26" s="898">
        <f>IF($L$17=TRUE,3,0)</f>
        <v>3</v>
      </c>
    </row>
    <row r="27" spans="2:33" ht="15.95" customHeight="1" x14ac:dyDescent="0.2">
      <c r="B27" s="1322"/>
      <c r="C27" s="893" t="s">
        <v>19</v>
      </c>
      <c r="D27" s="894"/>
      <c r="E27" s="894"/>
      <c r="F27" s="895"/>
      <c r="G27" s="102" t="b">
        <f t="shared" si="3"/>
        <v>0</v>
      </c>
      <c r="J27" s="259" t="s">
        <v>323</v>
      </c>
      <c r="K27" s="253"/>
      <c r="L27" s="75" t="b">
        <v>1</v>
      </c>
      <c r="M27" s="101" t="b">
        <f>IF(AND(Berechnung!$K$17&lt;&gt;"",OR(LEFT(Berechnung!$K$17,1)="J",LEFT(Berechnung!$K$17,1)="N")),TRUE,FALSE)</f>
        <v>0</v>
      </c>
      <c r="N27" s="321" t="str">
        <f t="shared" si="1"/>
        <v>i</v>
      </c>
      <c r="O27" s="106">
        <f ca="1">IF(OR(O26="",O26=$O$48),"",IF(AND(COUNTIF($O$23:O26,"&lt;&gt;")&gt;$O$47,$M$3=TRUE,$O$50=TRUE),$O$48,IF(Grunddaten!B14="","",Grunddaten!B14)))</f>
        <v>44927</v>
      </c>
      <c r="R27" s="260" t="s">
        <v>22</v>
      </c>
      <c r="S27" s="88">
        <f>COLUMN(Grunddaten!K1)</f>
        <v>11</v>
      </c>
      <c r="T27" s="88" t="str">
        <f t="shared" si="2"/>
        <v>K</v>
      </c>
      <c r="U27" s="88">
        <f>ROW(Grunddaten!K1)</f>
        <v>1</v>
      </c>
      <c r="V27" s="88">
        <f>ROW(Grunddaten!K98)</f>
        <v>98</v>
      </c>
      <c r="X27" s="1383"/>
      <c r="Y27" s="1384"/>
      <c r="Z27" s="1384"/>
      <c r="AA27" s="1384"/>
      <c r="AB27" s="1384"/>
      <c r="AC27" s="1385"/>
      <c r="AD27" s="913">
        <v>100</v>
      </c>
      <c r="AE27" s="913" t="s">
        <v>767</v>
      </c>
      <c r="AF27" s="913">
        <v>80</v>
      </c>
      <c r="AG27" s="898">
        <v>0</v>
      </c>
    </row>
    <row r="28" spans="2:33" ht="15.95" customHeight="1" x14ac:dyDescent="0.2">
      <c r="B28" s="1322"/>
      <c r="C28" s="893" t="s">
        <v>112</v>
      </c>
      <c r="D28" s="894"/>
      <c r="E28" s="894"/>
      <c r="F28" s="895"/>
      <c r="G28" s="102" t="b">
        <f t="shared" si="3"/>
        <v>1</v>
      </c>
      <c r="J28" s="259" t="s">
        <v>4</v>
      </c>
      <c r="K28" s="253"/>
      <c r="L28" s="75" t="b">
        <v>1</v>
      </c>
      <c r="M28" s="101" t="b">
        <f>IF(AND(Berechnung!$K$18&gt;0,ISNUMBER(Berechnung!$K$18)),TRUE,FALSE)</f>
        <v>0</v>
      </c>
      <c r="N28" s="321" t="str">
        <f t="shared" si="1"/>
        <v>i</v>
      </c>
      <c r="O28" s="106" t="str">
        <f ca="1">IF(OR(O27="",O27=$O$48),"",IF(AND(COUNTIF($O$23:O27,"&lt;&gt;")&gt;$O$47,$M$3=TRUE,$O$50=TRUE),$O$48,IF(Grunddaten!B15="","",Grunddaten!B15)))</f>
        <v/>
      </c>
      <c r="X28" s="1526" t="str">
        <f>IF(OR(Daten!$M$83="",Daten!$M$83=0),"",IF(L17=TRUE,"Die Bindungen orientieren sich an den Einkommensgrenzen des §22 (2) BbgWoFG, unter welche mindestens "&amp;TEXT(AD17,"#.##0,00")&amp;"% der WE direkt fallen (1. EK-Grenze). In der Regel gilt für "&amp;TEXT(AE17,"#.##0,00")&amp;"% der WE diese Einkommensgrenze zzgl. "&amp;TEXT(AF25,"#.##")&amp;"% (2. EK-Grenze) und für die verbleibenden "&amp;TEXT(AF17,"#.##0,00")&amp;"% gilt die Einkommensgrenze zzgl. "&amp;TEXT(AF26,"#.##")&amp;"% (3. EK-Grenze).","Von den notwendigen Bindungen ist mindestens die Hälfte der WE an Berechtigte zu überlassen, welche die Einkommensgrenze des §22 (2) BbgWoFG einhalten (1. EK-Grenze)."&amp;" Für die übrigen gebundenen WE darf diese Einkommensgrenze um nicht mehr als 20% überschritten werden (2. EK-Grenze)."))</f>
        <v>Die Bindungen orientieren sich an den Einkommensgrenzen des §22 (2) BbgWoFG, unter welche mindestens 45,00% der WE direkt fallen (1. EK-Grenze). In der Regel gilt für 30,00% der WE diese Einkommensgrenze zzgl. 40% (2. EK-Grenze) und für die verbleibenden 25,00% gilt die Einkommensgrenze zzgl. 60% (3. EK-Grenze).</v>
      </c>
      <c r="Y28" s="1526"/>
      <c r="Z28" s="1526"/>
      <c r="AA28" s="1526"/>
      <c r="AB28" s="1526"/>
      <c r="AC28" s="1526"/>
      <c r="AD28" s="1526"/>
      <c r="AE28" s="1526"/>
      <c r="AF28" s="1526"/>
      <c r="AG28" s="1526"/>
    </row>
    <row r="29" spans="2:33" ht="15.95" customHeight="1" x14ac:dyDescent="0.2">
      <c r="B29" s="1322"/>
      <c r="C29" s="893" t="s">
        <v>111</v>
      </c>
      <c r="D29" s="894"/>
      <c r="E29" s="894"/>
      <c r="F29" s="895"/>
      <c r="G29" s="102" t="b">
        <f t="shared" si="3"/>
        <v>0</v>
      </c>
      <c r="J29" s="259" t="s">
        <v>0</v>
      </c>
      <c r="K29" s="253"/>
      <c r="L29" s="75" t="b">
        <v>1</v>
      </c>
      <c r="M29" s="101" t="b">
        <f>IF(AND(Berechnung!$K$19&gt;0,ISNUMBER(Berechnung!$K$19)),TRUE,FALSE)</f>
        <v>0</v>
      </c>
      <c r="N29" s="321" t="str">
        <f t="shared" si="1"/>
        <v>i</v>
      </c>
      <c r="O29" s="106" t="str">
        <f ca="1">IF(OR(O28="",O28=$O$48),"",IF(AND(COUNTIF($O$23:O28,"&lt;&gt;")&gt;$O$47,$M$3=TRUE,$O$50=TRUE),$O$48,IF(Grunddaten!B16="","",Grunddaten!B16)))</f>
        <v/>
      </c>
      <c r="X29" s="1526"/>
      <c r="Y29" s="1526"/>
      <c r="Z29" s="1526"/>
      <c r="AA29" s="1526"/>
      <c r="AB29" s="1526"/>
      <c r="AC29" s="1526"/>
      <c r="AD29" s="1526"/>
      <c r="AE29" s="1526"/>
      <c r="AF29" s="1526"/>
      <c r="AG29" s="1526"/>
    </row>
    <row r="30" spans="2:33" ht="15.95" customHeight="1" x14ac:dyDescent="0.2">
      <c r="B30" s="1322"/>
      <c r="C30" s="893" t="s">
        <v>110</v>
      </c>
      <c r="D30" s="894"/>
      <c r="E30" s="894"/>
      <c r="F30" s="895"/>
      <c r="G30" s="102" t="b">
        <f>M79</f>
        <v>0</v>
      </c>
      <c r="J30" s="259" t="s">
        <v>10</v>
      </c>
      <c r="K30" s="253"/>
      <c r="L30" s="75" t="b">
        <v>1</v>
      </c>
      <c r="M30" s="101" t="b">
        <f>IF(AND(Berechnung!$K$20&gt;0,ISNUMBER(Berechnung!$K$20)),TRUE,FALSE)</f>
        <v>0</v>
      </c>
      <c r="N30" s="321" t="str">
        <f t="shared" si="1"/>
        <v>i</v>
      </c>
      <c r="O30" s="106" t="str">
        <f ca="1">IF(OR(O29="",O29=$O$48),"",IF(AND(COUNTIF($O$23:O29,"&lt;&gt;")&gt;$O$47,$M$3=TRUE,$O$50=TRUE),$O$48,IF(Grunddaten!B17="","",Grunddaten!B17)))</f>
        <v/>
      </c>
      <c r="R30" s="743" t="s">
        <v>649</v>
      </c>
      <c r="S30" s="1434" t="s">
        <v>315</v>
      </c>
      <c r="T30" s="1434"/>
      <c r="U30" s="745" t="s">
        <v>656</v>
      </c>
      <c r="V30" s="756">
        <v>30</v>
      </c>
      <c r="X30" s="1526"/>
      <c r="Y30" s="1526"/>
      <c r="Z30" s="1526"/>
      <c r="AA30" s="1526"/>
      <c r="AB30" s="1526"/>
      <c r="AC30" s="1526"/>
      <c r="AD30" s="1526"/>
      <c r="AE30" s="1526"/>
      <c r="AF30" s="1526"/>
      <c r="AG30" s="1526"/>
    </row>
    <row r="31" spans="2:33" ht="15.95" customHeight="1" x14ac:dyDescent="0.2">
      <c r="B31" s="1322"/>
      <c r="C31" s="687" t="s">
        <v>229</v>
      </c>
      <c r="D31" s="266"/>
      <c r="E31" s="266"/>
      <c r="F31" s="267"/>
      <c r="G31" s="102" t="b">
        <f>M81</f>
        <v>0</v>
      </c>
      <c r="J31" s="260" t="s">
        <v>310</v>
      </c>
      <c r="K31" s="254"/>
      <c r="L31" s="673" t="b">
        <f>IF(AND(OR($L$16=TRUE,$L$17=TRUE),$M$81=FALSE),TRUE,FALSE)</f>
        <v>1</v>
      </c>
      <c r="M31" s="674" t="b">
        <f>IF(L31=FALSE,FALSE,IF(AND(Berechnung!$K$21&lt;&gt;"",OR(LEFT(Berechnung!$K$21,1)="J",LEFT(Berechnung!$K$21,1)="N")),TRUE,FALSE))</f>
        <v>0</v>
      </c>
      <c r="N31" s="321" t="str">
        <f t="shared" si="1"/>
        <v>i</v>
      </c>
      <c r="O31" s="106" t="str">
        <f ca="1">IF(OR(O30="",O30=$O$48),"",IF(AND(COUNTIF($O$23:O30,"&lt;&gt;")&gt;$O$47,$M$3=TRUE,$O$50=TRUE),$O$48,IF(Grunddaten!B18="","",Grunddaten!B18)))</f>
        <v/>
      </c>
      <c r="R31" s="753" t="s">
        <v>654</v>
      </c>
      <c r="S31" s="756">
        <v>120</v>
      </c>
      <c r="T31" s="756">
        <v>120</v>
      </c>
      <c r="U31" s="756">
        <v>100</v>
      </c>
      <c r="V31" s="756">
        <v>100</v>
      </c>
      <c r="X31" s="999"/>
      <c r="Y31" s="999"/>
      <c r="Z31" s="999"/>
      <c r="AA31" s="999"/>
      <c r="AB31" s="999"/>
      <c r="AC31" s="999"/>
      <c r="AD31" s="999"/>
      <c r="AE31" s="999"/>
      <c r="AF31" s="999"/>
      <c r="AG31" s="999"/>
    </row>
    <row r="32" spans="2:33" ht="15.95" customHeight="1" x14ac:dyDescent="0.2">
      <c r="B32" s="1323"/>
      <c r="C32" s="931" t="str">
        <f>J80</f>
        <v>ModInst mit Zuschuss</v>
      </c>
      <c r="D32" s="954"/>
      <c r="E32" s="954"/>
      <c r="F32" s="955"/>
      <c r="G32" s="102" t="b">
        <f>M80</f>
        <v>0</v>
      </c>
      <c r="J32" s="671" t="s">
        <v>694</v>
      </c>
      <c r="K32" s="672"/>
      <c r="L32" s="673" t="b">
        <f>Berechnung!$AB$22</f>
        <v>0</v>
      </c>
      <c r="M32" s="673" t="b">
        <f>IF(L32=FALSE,FALSE,IF(AND(Berechnung!$K$22&lt;&gt;""),TRUE,FALSE))</f>
        <v>0</v>
      </c>
      <c r="N32" s="321" t="str">
        <f t="shared" si="1"/>
        <v/>
      </c>
      <c r="O32" s="106" t="str">
        <f ca="1">IF(OR(O31="",O31=$O$48),"",IF(AND(COUNTIF($O$23:O31,"&lt;&gt;")&gt;$O$47,$M$3=TRUE,$O$50=TRUE),$O$48,IF(Grunddaten!B19="","",Grunddaten!B19)))</f>
        <v/>
      </c>
      <c r="R32" s="748" t="s">
        <v>655</v>
      </c>
      <c r="S32" s="756">
        <v>140</v>
      </c>
      <c r="T32" s="756">
        <v>150</v>
      </c>
      <c r="U32" s="756">
        <v>240</v>
      </c>
      <c r="V32" s="756">
        <v>240</v>
      </c>
      <c r="X32" s="999"/>
      <c r="Y32" s="999"/>
      <c r="Z32" s="999"/>
      <c r="AA32" s="999"/>
      <c r="AB32" s="999"/>
      <c r="AC32" s="999"/>
      <c r="AD32" s="999"/>
      <c r="AE32" s="999"/>
      <c r="AF32" s="999"/>
      <c r="AG32" s="999"/>
    </row>
    <row r="33" spans="2:33" ht="15.95" customHeight="1" thickBot="1" x14ac:dyDescent="0.25">
      <c r="B33" s="1407" t="s">
        <v>109</v>
      </c>
      <c r="C33" s="1408"/>
      <c r="D33" s="1408"/>
      <c r="E33" s="1408"/>
      <c r="F33" s="1409"/>
      <c r="G33" s="394" t="b">
        <f>IF(L71=M71,TRUE,FALSE)</f>
        <v>0</v>
      </c>
      <c r="J33" s="671" t="s">
        <v>693</v>
      </c>
      <c r="K33" s="672"/>
      <c r="L33" s="673" t="b">
        <f>IF(AND($M$3=TRUE,Berechnung!$AB$22=TRUE,$R$92=TRUE),TRUE,FALSE)</f>
        <v>0</v>
      </c>
      <c r="M33" s="673" t="b">
        <f>IF(L33=FALSE,FALSE,IF(AND(Berechnung!$Q$22&lt;&gt;""),TRUE,FALSE))</f>
        <v>0</v>
      </c>
      <c r="N33" s="321" t="str">
        <f t="shared" si="1"/>
        <v/>
      </c>
      <c r="O33" s="106" t="str">
        <f ca="1">IF(OR(O32="",O32=$O$48),"",IF(AND(COUNTIF($O$23:O32,"&lt;&gt;")&gt;$O$47,$M$3=TRUE,$O$50=TRUE),$O$48,IF(Grunddaten!B20="","",Grunddaten!B20)))</f>
        <v/>
      </c>
      <c r="R33" s="744" t="s">
        <v>645</v>
      </c>
      <c r="S33" s="745" t="s">
        <v>650</v>
      </c>
      <c r="T33" s="746" t="s">
        <v>630</v>
      </c>
      <c r="U33" s="746" t="s">
        <v>647</v>
      </c>
      <c r="V33" s="745" t="s">
        <v>657</v>
      </c>
      <c r="X33" s="999"/>
      <c r="Y33" s="999"/>
      <c r="Z33" s="999"/>
      <c r="AA33" s="999"/>
      <c r="AB33" s="999"/>
      <c r="AC33" s="999"/>
      <c r="AD33" s="999"/>
      <c r="AE33" s="999"/>
      <c r="AF33" s="999"/>
      <c r="AG33" s="999"/>
    </row>
    <row r="34" spans="2:33" ht="15.95" customHeight="1" thickTop="1" thickBot="1" x14ac:dyDescent="0.25">
      <c r="B34" s="1457" t="s">
        <v>108</v>
      </c>
      <c r="C34" s="1457"/>
      <c r="D34" s="1457"/>
      <c r="E34" s="1457"/>
      <c r="F34" s="1458"/>
      <c r="G34" s="123" t="b">
        <f>IF(L71=M71,TRUE,FALSE)</f>
        <v>0</v>
      </c>
      <c r="J34" s="671" t="s">
        <v>819</v>
      </c>
      <c r="K34" s="672"/>
      <c r="L34" s="673" t="b">
        <f>IF(L17=TRUE,TRUE,FALSE)</f>
        <v>1</v>
      </c>
      <c r="M34" s="673" t="b">
        <f>IF(L17=FALSE,FALSE,IF(COUNTIF(Berechnung!AF13:AF14,FALSE)&gt;0,FALSE,TRUE))</f>
        <v>1</v>
      </c>
      <c r="N34" s="321" t="str">
        <f t="shared" si="1"/>
        <v/>
      </c>
      <c r="O34" s="106" t="str">
        <f ca="1">IF(OR(O33="",O33=$O$48),"",IF(AND(COUNTIF($O$23:O33,"&lt;&gt;")&gt;$O$47,$M$3=TRUE,$O$50=TRUE),$O$48,IF(Grunddaten!B21="","",Grunddaten!B21)))</f>
        <v/>
      </c>
      <c r="R34" s="1431" t="s">
        <v>143</v>
      </c>
      <c r="S34" s="1432"/>
      <c r="T34" s="1432"/>
      <c r="U34" s="1432"/>
      <c r="V34" s="1433"/>
    </row>
    <row r="35" spans="2:33" ht="15.95" customHeight="1" thickTop="1" x14ac:dyDescent="0.2">
      <c r="J35" s="258" t="s">
        <v>33</v>
      </c>
      <c r="K35" s="94"/>
      <c r="L35" s="94"/>
      <c r="M35" s="95"/>
      <c r="N35" s="321"/>
      <c r="O35" s="106" t="str">
        <f ca="1">IF(OR(O34="",O34=$O$48),"",IF(AND(COUNTIF($O$23:O34,"&lt;&gt;")&gt;$O$47,$M$3=TRUE,$O$50=TRUE),$O$48,IF(Grunddaten!B22="","",Grunddaten!B22)))</f>
        <v/>
      </c>
      <c r="R35" s="753" t="s">
        <v>140</v>
      </c>
      <c r="S35" s="752">
        <f>IF(U35=TRUE,$S$31+((V35-1)*$V$30),0)</f>
        <v>0</v>
      </c>
      <c r="T35" s="754" t="b">
        <v>1</v>
      </c>
      <c r="U35" s="755" t="b">
        <f>IF(AND(T35=TRUE,OR($H$2=FALSE,$M$3=TRUE)),TRUE,FALSE)</f>
        <v>0</v>
      </c>
      <c r="V35" s="752">
        <f>IF(U35=FALSE,0,COUNTIF($U35:U$35,TRUE))</f>
        <v>0</v>
      </c>
    </row>
    <row r="36" spans="2:33" ht="15.95" customHeight="1" x14ac:dyDescent="0.2">
      <c r="B36" s="1415" t="s">
        <v>54</v>
      </c>
      <c r="C36" s="1416"/>
      <c r="D36" s="1417"/>
      <c r="E36" s="1418" t="s">
        <v>851</v>
      </c>
      <c r="F36" s="1419"/>
      <c r="G36" s="1065" t="b">
        <f>IF(Berechnung!$V$44+Berechnung!$V$53&gt;=Berechnung!$I$44,FALSE,TRUE)</f>
        <v>0</v>
      </c>
      <c r="J36" s="259" t="s">
        <v>98</v>
      </c>
      <c r="K36" s="253"/>
      <c r="L36" s="75" t="b">
        <v>1</v>
      </c>
      <c r="M36" s="101" t="b">
        <f>IF(AND(Berechnung!$AD$127=TRUE,Berechnung!$AD$145=TRUE,Berechnung!$AF$13=TRUE),TRUE,FALSE)</f>
        <v>1</v>
      </c>
      <c r="N36" s="321" t="str">
        <f t="shared" ref="N36:N45" si="4">IF(L36&lt;&gt;M36,"i","")</f>
        <v/>
      </c>
      <c r="O36" s="106" t="str">
        <f ca="1">IF(OR(O35="",O35=$O$48),"",IF(AND(COUNTIF($O$23:O35,"&lt;&gt;")&gt;$O$47,$M$3=TRUE,$O$50=TRUE),$O$48,IF(Grunddaten!B23="","",Grunddaten!B23)))</f>
        <v/>
      </c>
      <c r="R36" s="753" t="s">
        <v>651</v>
      </c>
      <c r="S36" s="752">
        <f>IF(U36=TRUE,$S$31+((V36-1)*$V$30),0)</f>
        <v>0</v>
      </c>
      <c r="T36" s="754" t="b">
        <v>1</v>
      </c>
      <c r="U36" s="755" t="b">
        <f t="shared" ref="U36" si="5">IF(AND(T36=TRUE,OR($H$2=FALSE,$M$3=TRUE)),TRUE,FALSE)</f>
        <v>0</v>
      </c>
      <c r="V36" s="752">
        <f>IF(U36=FALSE,0,COUNTIF($U$35:U36,TRUE))</f>
        <v>0</v>
      </c>
    </row>
    <row r="37" spans="2:33" ht="15.95" customHeight="1" x14ac:dyDescent="0.2">
      <c r="B37" s="1398" t="s">
        <v>48</v>
      </c>
      <c r="C37" s="1399"/>
      <c r="D37" s="1400"/>
      <c r="E37" s="1398" t="s">
        <v>44</v>
      </c>
      <c r="F37" s="1399"/>
      <c r="G37" s="1400"/>
      <c r="J37" s="259" t="s">
        <v>97</v>
      </c>
      <c r="K37" s="253"/>
      <c r="L37" s="75" t="b">
        <v>1</v>
      </c>
      <c r="M37" s="101" t="b">
        <f>IF(AND(Berechnung!$AE$127=TRUE,Berechnung!$AE$145=TRUE),TRUE,FALSE)</f>
        <v>1</v>
      </c>
      <c r="N37" s="321" t="str">
        <f t="shared" si="4"/>
        <v/>
      </c>
      <c r="O37" s="106" t="str">
        <f ca="1">IF(OR(O36="",O36=$O$48),"",IF(AND(COUNTIF($O$23:O36,"&lt;&gt;")&gt;$O$47,$M$3=TRUE,$O$50=TRUE),$O$48,IF(Grunddaten!B24="","",Grunddaten!B24)))</f>
        <v/>
      </c>
      <c r="R37" s="748" t="s">
        <v>22</v>
      </c>
      <c r="S37" s="749">
        <f>IF(U37=TRUE,$S$32+((V37-1)*$V$30),0)</f>
        <v>0</v>
      </c>
      <c r="T37" s="754" t="b">
        <v>1</v>
      </c>
      <c r="U37" s="755" t="b">
        <f>IF(AND(T37=TRUE,OR($H$2=FALSE,$M$3=TRUE)),TRUE,FALSE)</f>
        <v>0</v>
      </c>
      <c r="V37" s="749">
        <f>IF(U37=FALSE,0,COUNTIF($U$37:U37,TRUE))</f>
        <v>0</v>
      </c>
    </row>
    <row r="38" spans="2:33" ht="15.95" customHeight="1" x14ac:dyDescent="0.2">
      <c r="B38" s="1462" t="s">
        <v>28</v>
      </c>
      <c r="C38" s="1462"/>
      <c r="D38" s="387">
        <f>G10-H81-D128</f>
        <v>0</v>
      </c>
      <c r="E38" s="1463" t="s">
        <v>180</v>
      </c>
      <c r="F38" s="1463"/>
      <c r="G38" s="115">
        <f>G14</f>
        <v>0</v>
      </c>
      <c r="J38" s="259" t="str">
        <f>IF(L17=TRUE,"WE / m² für 3. EK-Grenze","WE / m² nicht belegungsgebunden")</f>
        <v>WE / m² für 3. EK-Grenze</v>
      </c>
      <c r="K38" s="253"/>
      <c r="L38" s="75" t="b">
        <v>1</v>
      </c>
      <c r="M38" s="101" t="b">
        <f>IF(AND(Berechnung!$AF$127=TRUE,Berechnung!$AF$145=TRUE),TRUE,FALSE)</f>
        <v>1</v>
      </c>
      <c r="N38" s="321" t="str">
        <f t="shared" si="4"/>
        <v/>
      </c>
      <c r="O38" s="106" t="str">
        <f ca="1">IF(OR(O37="",O37=$O$48),"",IF(AND(COUNTIF($O$23:O37,"&lt;&gt;")&gt;$O$47,$M$3=TRUE,$O$50=TRUE),$O$48,IF(Grunddaten!B25="","",Grunddaten!B25)))</f>
        <v/>
      </c>
      <c r="R38" s="748" t="s">
        <v>652</v>
      </c>
      <c r="S38" s="749">
        <f>IF(U38=TRUE,$S$32+((V38-1)*$V$30),0)</f>
        <v>0</v>
      </c>
      <c r="T38" s="754" t="b">
        <v>1</v>
      </c>
      <c r="U38" s="755" t="b">
        <f>IF(AND(T38=TRUE,OR($H$2=FALSE,$M$3=TRUE)),TRUE,FALSE)</f>
        <v>0</v>
      </c>
      <c r="V38" s="749">
        <f>IF(U38=FALSE,0,COUNTIF($U$37:U38,TRUE))</f>
        <v>0</v>
      </c>
    </row>
    <row r="39" spans="2:33" ht="15.95" customHeight="1" x14ac:dyDescent="0.2">
      <c r="B39" s="1456" t="s">
        <v>17</v>
      </c>
      <c r="C39" s="1456"/>
      <c r="D39" s="388">
        <f>G11-H84</f>
        <v>0</v>
      </c>
      <c r="E39" s="1443" t="s">
        <v>45</v>
      </c>
      <c r="F39" s="1443"/>
      <c r="G39" s="76">
        <v>0</v>
      </c>
      <c r="H39" s="114"/>
      <c r="J39" s="259" t="s">
        <v>100</v>
      </c>
      <c r="K39" s="253"/>
      <c r="L39" s="75" t="b">
        <v>1</v>
      </c>
      <c r="M39" s="101" t="b">
        <f>IF(AND(SUM(Berechnung!J27:J29)=Berechnung!K18,SUM(Berechnung!L27:L29)=Berechnung!K19),TRUE,FALSE)</f>
        <v>1</v>
      </c>
      <c r="N39" s="321" t="str">
        <f t="shared" si="4"/>
        <v/>
      </c>
      <c r="O39" s="106" t="str">
        <f ca="1">IF(OR(O38="",O38=$O$48),"",IF(AND(COUNTIF($O$23:O38,"&lt;&gt;")&gt;$O$47,$M$3=TRUE,$O$50=TRUE),$O$48,IF(Grunddaten!B26="","",Grunddaten!B26)))</f>
        <v/>
      </c>
      <c r="R39" s="731"/>
      <c r="S39" s="731"/>
      <c r="T39" s="107"/>
      <c r="U39" s="747"/>
      <c r="V39" s="731"/>
    </row>
    <row r="40" spans="2:33" ht="15.95" customHeight="1" x14ac:dyDescent="0.2">
      <c r="B40" s="1456" t="s">
        <v>27</v>
      </c>
      <c r="C40" s="1456"/>
      <c r="D40" s="388">
        <f>MAX(0,G13-H101-D128)</f>
        <v>0</v>
      </c>
      <c r="E40" s="1443" t="s">
        <v>46</v>
      </c>
      <c r="F40" s="1443"/>
      <c r="G40" s="76">
        <v>0</v>
      </c>
      <c r="J40" s="261" t="s">
        <v>306</v>
      </c>
      <c r="K40" s="112"/>
      <c r="L40" s="113" t="b">
        <f>IF(AND(L16=TRUE,M31=TRUE,Berechnung!K21="Ja"),TRUE,FALSE)</f>
        <v>0</v>
      </c>
      <c r="M40" s="113" t="b">
        <f>IF(L40=FALSE,FALSE,IF(AND(Berechnung!$J$34&lt;&gt;"",Berechnung!$J$34&lt;=Berechnung!$K$18),TRUE,FALSE))</f>
        <v>0</v>
      </c>
      <c r="N40" s="321" t="str">
        <f t="shared" si="4"/>
        <v/>
      </c>
      <c r="O40" s="106" t="str">
        <f ca="1">IF(OR(O39="",O39=$O$48),"",IF(AND(COUNTIF($O$23:O39,"&lt;&gt;")&gt;$O$47,$M$3=TRUE,$O$50=TRUE),$O$48,IF(Grunddaten!B27="","",Grunddaten!B27)))</f>
        <v/>
      </c>
      <c r="R40" s="731"/>
      <c r="S40" s="731"/>
      <c r="T40" s="107"/>
      <c r="U40" s="747"/>
      <c r="V40" s="731"/>
    </row>
    <row r="41" spans="2:33" ht="15.95" customHeight="1" x14ac:dyDescent="0.2">
      <c r="B41" s="1444" t="str">
        <f>B21</f>
        <v>-</v>
      </c>
      <c r="C41" s="1444"/>
      <c r="D41" s="388">
        <f>IF(Berechnung!L62="",0,Berechnung!L62)</f>
        <v>0</v>
      </c>
      <c r="E41" s="1445" t="s">
        <v>107</v>
      </c>
      <c r="F41" s="1446"/>
      <c r="G41" s="116">
        <f>ROUND(D41*G21/100,2)</f>
        <v>0</v>
      </c>
      <c r="J41" s="261" t="s">
        <v>311</v>
      </c>
      <c r="K41" s="112"/>
      <c r="L41" s="113" t="b">
        <f>L40</f>
        <v>0</v>
      </c>
      <c r="M41" s="113" t="b">
        <f>IF(L41=FALSE,FALSE,IF(AND(Berechnung!$J$35&lt;&gt;"",Berechnung!$J$35&lt;=Berechnung!$J$34),TRUE,FALSE))</f>
        <v>0</v>
      </c>
      <c r="N41" s="321" t="str">
        <f t="shared" si="4"/>
        <v/>
      </c>
      <c r="O41" s="106" t="str">
        <f ca="1">IF(OR(O40="",O40=$O$48),"",IF(AND(COUNTIF($O$23:O40,"&lt;&gt;")&gt;$O$47,$M$3=TRUE,$O$50=TRUE),$O$48,IF(Grunddaten!B28="","",Grunddaten!B28)))</f>
        <v/>
      </c>
      <c r="R41" s="1430" t="s">
        <v>140</v>
      </c>
      <c r="S41" s="1430"/>
      <c r="T41" s="1430"/>
      <c r="U41" s="1430"/>
      <c r="V41" s="1430"/>
    </row>
    <row r="42" spans="2:33" ht="15.95" customHeight="1" x14ac:dyDescent="0.2">
      <c r="B42" s="1337" t="str">
        <f>B22</f>
        <v>1. Weitere Finanzierung</v>
      </c>
      <c r="C42" s="1337"/>
      <c r="D42" s="389">
        <v>0</v>
      </c>
      <c r="E42" s="1338" t="s">
        <v>107</v>
      </c>
      <c r="F42" s="1339"/>
      <c r="G42" s="77">
        <v>0</v>
      </c>
      <c r="J42" s="259" t="s">
        <v>88</v>
      </c>
      <c r="K42" s="253"/>
      <c r="L42" s="101" t="b">
        <f>IF(C87&gt;0,TRUE,FALSE)</f>
        <v>1</v>
      </c>
      <c r="M42" s="101" t="b">
        <f>IF(L42=FALSE,FALSE,IF(OR(AND(M3=TRUE,L96=TRUE),AND(Berechnung!V27&gt;=0,ISNUMBER(Berechnung!V27),Berechnung!V27&lt;=Daten!D95)),TRUE,FALSE))</f>
        <v>0</v>
      </c>
      <c r="N42" s="321" t="str">
        <f t="shared" si="4"/>
        <v>i</v>
      </c>
      <c r="O42" s="106" t="str">
        <f ca="1">IF(OR(O41="",O41=$O$48),"",IF(AND(COUNTIF($O$23:O41,"&lt;&gt;")&gt;$O$47,$M$3=TRUE,$O$50=TRUE),$O$48,IF(Grunddaten!B29="","",Grunddaten!B29)))</f>
        <v/>
      </c>
      <c r="R42" s="751" t="s">
        <v>143</v>
      </c>
      <c r="S42" s="752">
        <f>IF(U42=TRUE,$T$31+((V42-1)*$V$30),0)</f>
        <v>120</v>
      </c>
      <c r="T42" s="107" t="b">
        <v>1</v>
      </c>
      <c r="U42" s="747" t="b">
        <f>T42</f>
        <v>1</v>
      </c>
      <c r="V42" s="752">
        <f>IF(U42=FALSE,0,COUNTIF($U$42:U42,TRUE))</f>
        <v>1</v>
      </c>
    </row>
    <row r="43" spans="2:33" ht="15.95" customHeight="1" x14ac:dyDescent="0.2">
      <c r="B43" s="1337" t="str">
        <f>B23</f>
        <v>2. Weitere Finanzierung</v>
      </c>
      <c r="C43" s="1337"/>
      <c r="D43" s="389">
        <v>0</v>
      </c>
      <c r="E43" s="1338" t="s">
        <v>107</v>
      </c>
      <c r="F43" s="1339"/>
      <c r="G43" s="77">
        <v>0</v>
      </c>
      <c r="J43" s="259" t="s">
        <v>89</v>
      </c>
      <c r="K43" s="253"/>
      <c r="L43" s="101" t="b">
        <f>IF(C88&gt;0,TRUE,FALSE)</f>
        <v>1</v>
      </c>
      <c r="M43" s="101" t="b">
        <f>IF(L43=FALSE,FALSE,IF(OR(AND(M3=TRUE,L96=TRUE),AND(Berechnung!V28&gt;=0,ISNUMBER(Berechnung!V28),Berechnung!V28&lt;=Daten!D97)),TRUE,FALSE))</f>
        <v>0</v>
      </c>
      <c r="N43" s="321" t="str">
        <f t="shared" si="4"/>
        <v>i</v>
      </c>
      <c r="O43" s="106" t="str">
        <f ca="1">IF(OR(O42="",O42=$O$48),"",IF(AND(COUNTIF($O$23:O42,"&lt;&gt;")&gt;$O$47,$M$3=TRUE,$O$50=TRUE),$O$48,IF(Grunddaten!B30="","",Grunddaten!B30)))</f>
        <v/>
      </c>
      <c r="R43" s="751" t="s">
        <v>651</v>
      </c>
      <c r="S43" s="752">
        <f t="shared" ref="S43:S46" si="6">IF(U43=TRUE,$T$31+((V43-1)*$V$30),0)</f>
        <v>150</v>
      </c>
      <c r="T43" s="107" t="b">
        <v>1</v>
      </c>
      <c r="U43" s="747" t="b">
        <f>IF(T43=TRUE,TRUE,FALSE)</f>
        <v>1</v>
      </c>
      <c r="V43" s="752">
        <f>IF(U43=FALSE,0,COUNTIF($U$42:U43,TRUE))</f>
        <v>2</v>
      </c>
    </row>
    <row r="44" spans="2:33" ht="15.95" customHeight="1" x14ac:dyDescent="0.2">
      <c r="B44" s="1405" t="s">
        <v>171</v>
      </c>
      <c r="C44" s="1405"/>
      <c r="D44" s="1411">
        <f>IF(G36=FALSE,0,ROUNDUP(MAX(0,D38-SUM(D39:D43)),E73))</f>
        <v>0</v>
      </c>
      <c r="E44" s="1410" t="s">
        <v>350</v>
      </c>
      <c r="F44" s="1410"/>
      <c r="G44" s="104">
        <f>G15</f>
        <v>0</v>
      </c>
      <c r="J44" s="259" t="str">
        <f>IF(L17=TRUE,"Miethöhe für WE 3. EK-Grenze","Miethöhe für WE nicht belegungsgebunden")</f>
        <v>Miethöhe für WE 3. EK-Grenze</v>
      </c>
      <c r="K44" s="253"/>
      <c r="L44" s="101" t="b">
        <f>IF(OR(L17=FALSE,AND(L17=TRUE,C89&gt;0)),TRUE,FALSE)</f>
        <v>1</v>
      </c>
      <c r="M44" s="101" t="b">
        <f>IF($L$44=FALSE,FALSE,IF(AND($L$17=FALSE,Berechnung!V29&gt;=0,ISNUMBER(Berechnung!V29)),TRUE,IF(OR(AND(M3=TRUE,L96=TRUE),AND(Berechnung!V29&gt;=0,ISNUMBER(Berechnung!V29),Berechnung!V29&lt;=Daten!D99)),TRUE,FALSE)))</f>
        <v>0</v>
      </c>
      <c r="N44" s="321" t="str">
        <f t="shared" si="4"/>
        <v>i</v>
      </c>
      <c r="O44" s="106" t="str">
        <f ca="1">IF(OR(O43="",O43=$O$48),"",IF(AND(COUNTIF($O$23:O43,"&lt;&gt;")&gt;$O$47,$M$3=TRUE,$O$50=TRUE),$O$48,IF(Grunddaten!B31="","",Grunddaten!B31)))</f>
        <v/>
      </c>
      <c r="Q44" s="78"/>
      <c r="R44" s="751" t="s">
        <v>652</v>
      </c>
      <c r="S44" s="752">
        <f t="shared" si="6"/>
        <v>0</v>
      </c>
      <c r="T44" s="107" t="b">
        <v>1</v>
      </c>
      <c r="U44" s="747" t="b">
        <f>IF(AND(T44=TRUE,$M$3=TRUE),TRUE,FALSE)</f>
        <v>0</v>
      </c>
      <c r="V44" s="752">
        <f>IF(U44=FALSE,0,COUNTIF($U$42:U44,TRUE))</f>
        <v>0</v>
      </c>
    </row>
    <row r="45" spans="2:33" ht="15.95" customHeight="1" thickBot="1" x14ac:dyDescent="0.25">
      <c r="B45" s="1406"/>
      <c r="C45" s="1406"/>
      <c r="D45" s="1412"/>
      <c r="E45" s="1403" t="s">
        <v>47</v>
      </c>
      <c r="F45" s="1404"/>
      <c r="G45" s="104">
        <f ca="1">G16</f>
        <v>0</v>
      </c>
      <c r="J45" s="259" t="s">
        <v>37</v>
      </c>
      <c r="K45" s="253"/>
      <c r="L45" s="101" t="b">
        <f>IF(Berechnung!V31="",FALSE,TRUE)</f>
        <v>0</v>
      </c>
      <c r="M45" s="101" t="b">
        <f>IF(L45=FALSE,FALSE,IF(OR(Berechnung!V31="",AND(Berechnung!V31&gt;=0,ISNUMBER(Berechnung!V31))),TRUE,FALSE))</f>
        <v>0</v>
      </c>
      <c r="N45" s="321" t="str">
        <f t="shared" si="4"/>
        <v/>
      </c>
      <c r="O45" s="106" t="str">
        <f ca="1">IF(OR(O44="",O44=$O$48),"",IF(AND(COUNTIF($O$23:O44,"&lt;&gt;")&gt;$O$47,$M$3=TRUE,$O$50=TRUE),$O$48,IF(Grunddaten!B32="","",Grunddaten!B32)))</f>
        <v/>
      </c>
      <c r="Q45" s="78"/>
      <c r="R45" s="751" t="s">
        <v>22</v>
      </c>
      <c r="S45" s="752">
        <f t="shared" si="6"/>
        <v>0</v>
      </c>
      <c r="T45" s="107" t="b">
        <v>1</v>
      </c>
      <c r="U45" s="747" t="b">
        <f>IF(AND(T45=TRUE,$M$3=TRUE),TRUE,FALSE)</f>
        <v>0</v>
      </c>
      <c r="V45" s="752">
        <f>IF(U45=FALSE,0,COUNTIF($U$42:U45,TRUE))</f>
        <v>0</v>
      </c>
    </row>
    <row r="46" spans="2:33" ht="15.95" customHeight="1" thickTop="1" thickBot="1" x14ac:dyDescent="0.25">
      <c r="B46" s="1413" t="s">
        <v>135</v>
      </c>
      <c r="C46" s="1414"/>
      <c r="D46" s="117">
        <f>IF(G34=FALSE,0,MAX(-D44,MIN(D44,D38-SUM(D39:D40,ROUNDUP(D47,-2),D41:D43))))</f>
        <v>0</v>
      </c>
      <c r="E46" s="1396" t="s">
        <v>107</v>
      </c>
      <c r="F46" s="1397"/>
      <c r="G46" s="119">
        <f>MAX(0,ROUND(D46*G19/100,2))</f>
        <v>0</v>
      </c>
      <c r="H46" s="1513" t="s">
        <v>456</v>
      </c>
      <c r="I46" s="507"/>
      <c r="J46" s="258" t="s">
        <v>16</v>
      </c>
      <c r="K46" s="94"/>
      <c r="L46" s="94"/>
      <c r="M46" s="95"/>
      <c r="N46" s="321"/>
      <c r="O46" s="106" t="str">
        <f ca="1">IF(OR(O45="",O45=$O$48),"",IF(AND(COUNTIF($O$23:O45,"&lt;&gt;")&gt;$O$47,$M$3=TRUE,$O$50=TRUE),$O$48,IF(Grunddaten!B33="","",Grunddaten!B33)))</f>
        <v/>
      </c>
      <c r="R46" s="751" t="s">
        <v>646</v>
      </c>
      <c r="S46" s="752">
        <f t="shared" si="6"/>
        <v>0</v>
      </c>
      <c r="T46" s="107" t="b">
        <v>1</v>
      </c>
      <c r="U46" s="747" t="b">
        <f>IF(AND(T46=TRUE,$M$3=TRUE),TRUE,FALSE)</f>
        <v>0</v>
      </c>
      <c r="V46" s="752">
        <f>IF(U46=FALSE,0,COUNTIF($U$42:U46,TRUE))</f>
        <v>0</v>
      </c>
    </row>
    <row r="47" spans="2:33" ht="15.95" customHeight="1" thickTop="1" thickBot="1" x14ac:dyDescent="0.25">
      <c r="B47" s="1420" t="s">
        <v>15</v>
      </c>
      <c r="C47" s="1421"/>
      <c r="D47" s="117">
        <f>IF(OR(G34=FALSE,G20&gt;G19),0,MAX(-D44,MIN(D44,ROUND(D53*D56,2))))</f>
        <v>0</v>
      </c>
      <c r="E47" s="1422" t="s">
        <v>107</v>
      </c>
      <c r="F47" s="1423"/>
      <c r="G47" s="522">
        <f>ROUND((M115+H113)*G20/100,2)</f>
        <v>0</v>
      </c>
      <c r="H47" s="1513"/>
      <c r="I47" s="507"/>
      <c r="J47" s="262" t="str">
        <f>IF(OR(M79=TRUE,M80=TRUE,M81=TRUE),"Baukosten","Grundstückskosten")</f>
        <v>Grundstückskosten</v>
      </c>
      <c r="K47" s="255"/>
      <c r="L47" s="75" t="b">
        <v>1</v>
      </c>
      <c r="M47" s="101" t="b">
        <f>IF(L47=FALSE,FALSE,IF(OR(AND(M79=FALSE,M80=FALSE,Berechnung!I40=""),AND(Berechnung!I40&gt;=0,ISNUMBER(Berechnung!I40))),TRUE,FALSE))</f>
        <v>1</v>
      </c>
      <c r="N47" s="321" t="str">
        <f t="shared" ref="N47:N56" si="7">IF(L47&lt;&gt;M47,"i","")</f>
        <v/>
      </c>
      <c r="O47" s="424">
        <f>COUNTIF(Grunddaten!$B$11:$B$35,"&lt;&gt;")</f>
        <v>4</v>
      </c>
      <c r="R47" s="750" t="s">
        <v>648</v>
      </c>
      <c r="S47" s="749">
        <f>IF(U47=TRUE,$T$32+((V47-1)*$V$30),0)</f>
        <v>150</v>
      </c>
      <c r="T47" s="107" t="b">
        <v>1</v>
      </c>
      <c r="U47" s="747" t="b">
        <f>T47</f>
        <v>1</v>
      </c>
      <c r="V47" s="749">
        <f>IF(U47=FALSE,0,COUNTIF($U$47:U47,TRUE))</f>
        <v>1</v>
      </c>
    </row>
    <row r="48" spans="2:33" ht="15.95" customHeight="1" x14ac:dyDescent="0.2">
      <c r="B48" s="1401" t="s">
        <v>29</v>
      </c>
      <c r="C48" s="1402"/>
      <c r="D48" s="118">
        <f>SUM(D39:D43,D46:D47)</f>
        <v>0</v>
      </c>
      <c r="E48" s="1403" t="s">
        <v>41</v>
      </c>
      <c r="F48" s="1404"/>
      <c r="G48" s="104">
        <f>G17</f>
        <v>0</v>
      </c>
      <c r="J48" s="262" t="str">
        <f>IF(OR(M79=TRUE,M80=TRUE,M81=TRUE),"Baunebenkosten","Erwerbskosten")</f>
        <v>Erwerbskosten</v>
      </c>
      <c r="K48" s="255"/>
      <c r="L48" s="75" t="b">
        <v>1</v>
      </c>
      <c r="M48" s="101" t="b">
        <f>IF(L48=FALSE,FALSE,IF(OR(Berechnung!I41="",AND(Berechnung!I41&gt;=0,ISNUMBER(Berechnung!I41))),TRUE,FALSE))</f>
        <v>1</v>
      </c>
      <c r="N48" s="321" t="str">
        <f t="shared" si="7"/>
        <v/>
      </c>
      <c r="O48" s="424" t="s">
        <v>432</v>
      </c>
      <c r="R48" s="750" t="s">
        <v>644</v>
      </c>
      <c r="S48" s="749">
        <f t="shared" ref="S48:S50" si="8">IF(U48=TRUE,$T$32+((V48-1)*$V$30),0)</f>
        <v>180</v>
      </c>
      <c r="T48" s="107" t="b">
        <v>1</v>
      </c>
      <c r="U48" s="747" t="b">
        <f>T48</f>
        <v>1</v>
      </c>
      <c r="V48" s="749">
        <f>IF(U48=FALSE,0,COUNTIF($U$47:U48,TRUE))</f>
        <v>2</v>
      </c>
    </row>
    <row r="49" spans="2:22" ht="15.95" customHeight="1" thickBot="1" x14ac:dyDescent="0.25">
      <c r="B49" s="1394" t="s">
        <v>499</v>
      </c>
      <c r="C49" s="1395"/>
      <c r="D49" s="581">
        <f>IF(OR(D53="",D53=0),0,99.99/D53)</f>
        <v>0</v>
      </c>
      <c r="E49" s="1441" t="s">
        <v>181</v>
      </c>
      <c r="F49" s="1442"/>
      <c r="G49" s="120">
        <f ca="1">SUM(G39:G48)</f>
        <v>0</v>
      </c>
      <c r="J49" s="262" t="str">
        <f>IF(AND(M79=FALSE,M80=FALSE,M81=FALSE),"Baukosten","-")</f>
        <v>Baukosten</v>
      </c>
      <c r="K49" s="255"/>
      <c r="L49" s="101" t="b">
        <f>IF(AND(M79=FALSE,M80=FALSE,M81=FALSE),TRUE,FALSE)</f>
        <v>1</v>
      </c>
      <c r="M49" s="101" t="b">
        <f>IF(L49=FALSE,FALSE,IF(OR(AND(OR(M79=TRUE,M80=TRUE),Berechnung!I42=""),AND(Berechnung!I42&gt;=0,ISNUMBER(Berechnung!I42))),TRUE,FALSE))</f>
        <v>0</v>
      </c>
      <c r="N49" s="321" t="str">
        <f t="shared" si="7"/>
        <v>i</v>
      </c>
      <c r="O49" s="477" t="str">
        <f>IF(Berechnung!G67="","-",Berechnung!G67)</f>
        <v>Aktuell gültig</v>
      </c>
      <c r="R49" s="750" t="s">
        <v>653</v>
      </c>
      <c r="S49" s="749">
        <f t="shared" si="8"/>
        <v>0</v>
      </c>
      <c r="T49" s="107" t="b">
        <v>1</v>
      </c>
      <c r="U49" s="747" t="b">
        <f>IF(AND(T49=TRUE,OR($M$3=TRUE)),TRUE,FALSE)</f>
        <v>0</v>
      </c>
      <c r="V49" s="749">
        <f>IF(U49=FALSE,0,COUNTIF($U$47:U49,TRUE))</f>
        <v>0</v>
      </c>
    </row>
    <row r="50" spans="2:22" ht="15.95" customHeight="1" thickTop="1" thickBot="1" x14ac:dyDescent="0.25">
      <c r="B50" s="1394" t="s">
        <v>497</v>
      </c>
      <c r="C50" s="1450"/>
      <c r="D50" s="515">
        <f>IF(OR(D56="",D56=0,G54=FALSE),0,ROUND(G56-D56,2))</f>
        <v>0</v>
      </c>
      <c r="E50" s="1470" t="s">
        <v>332</v>
      </c>
      <c r="F50" s="1471"/>
      <c r="G50" s="1041">
        <f ca="1">ROUND(G38-G49,2)</f>
        <v>0</v>
      </c>
      <c r="H50" s="774"/>
      <c r="J50" s="262" t="str">
        <f>IF(AND(M79=FALSE,M80=FALSE,M81=FALSE),"Baunebenkosten","-")</f>
        <v>Baunebenkosten</v>
      </c>
      <c r="K50" s="255"/>
      <c r="L50" s="101" t="b">
        <f>IF(AND(M79=FALSE,M80=FALSE,M81=FALSE),TRUE,FALSE)</f>
        <v>1</v>
      </c>
      <c r="M50" s="101" t="b">
        <f>IF(L50=FALSE,FALSE,IF(OR(Berechnung!I43="",AND(Berechnung!I43&gt;=0,ISNUMBER(Berechnung!I43))),TRUE,FALSE))</f>
        <v>1</v>
      </c>
      <c r="N50" s="321" t="str">
        <f t="shared" si="7"/>
        <v/>
      </c>
      <c r="O50" s="489" t="b">
        <f ca="1">IF(COUNTIF(Grunddaten!T86:T91,TRUE)&gt;0,TRUE,FALSE)</f>
        <v>0</v>
      </c>
      <c r="R50" s="750" t="s">
        <v>643</v>
      </c>
      <c r="S50" s="749">
        <f t="shared" si="8"/>
        <v>0</v>
      </c>
      <c r="T50" s="107" t="b">
        <v>1</v>
      </c>
      <c r="U50" s="747" t="b">
        <f>IF(AND(T50=TRUE,OR($M$3=TRUE)),TRUE,FALSE)</f>
        <v>0</v>
      </c>
      <c r="V50" s="749">
        <f>IF(U50=FALSE,0,COUNTIF($U$47:U50,TRUE))</f>
        <v>0</v>
      </c>
    </row>
    <row r="51" spans="2:22" ht="15.95" customHeight="1" thickTop="1" thickBot="1" x14ac:dyDescent="0.25">
      <c r="B51" s="1392" t="s">
        <v>498</v>
      </c>
      <c r="C51" s="1393"/>
      <c r="D51" s="580">
        <f>IF(OR(D53=0,D53=""),0,ROUNDUP(D47,-2)/D53-D56)</f>
        <v>0</v>
      </c>
      <c r="E51" s="1448" t="s">
        <v>496</v>
      </c>
      <c r="F51" s="1449"/>
      <c r="G51" s="1041">
        <f>IF(OR(D46&lt;0,D53=0,D53=""),0,D46/D53)</f>
        <v>0</v>
      </c>
      <c r="H51" s="510"/>
      <c r="J51" s="259" t="s">
        <v>2</v>
      </c>
      <c r="K51" s="253"/>
      <c r="L51" s="101" t="b">
        <f>IF(Berechnung!V40="",FALSE,TRUE)</f>
        <v>1</v>
      </c>
      <c r="M51" s="101" t="b">
        <f>IF(AND(Berechnung!V40&gt;=0,ISNUMBER(Berechnung!V40)),TRUE,FALSE)</f>
        <v>1</v>
      </c>
      <c r="N51" s="321" t="str">
        <f t="shared" si="7"/>
        <v/>
      </c>
      <c r="R51" s="742"/>
      <c r="S51" s="731"/>
      <c r="T51" s="107"/>
      <c r="U51" s="747"/>
      <c r="V51" s="731"/>
    </row>
    <row r="52" spans="2:22" ht="15.95" customHeight="1" thickTop="1" x14ac:dyDescent="0.2">
      <c r="B52" s="1461" t="s">
        <v>106</v>
      </c>
      <c r="C52" s="1461"/>
      <c r="D52" s="1461"/>
      <c r="E52" s="1461"/>
      <c r="F52" s="1461"/>
      <c r="G52" s="1461"/>
      <c r="J52" s="259" t="s">
        <v>11</v>
      </c>
      <c r="K52" s="253"/>
      <c r="L52" s="101" t="b">
        <f>IF(Berechnung!V41="",FALSE,TRUE)</f>
        <v>0</v>
      </c>
      <c r="M52" s="101" t="b">
        <f>IF(L52=FALSE,FALSE,IF(AND(Berechnung!V41&gt;=0,ISNUMBER(Berechnung!V41)),TRUE,FALSE))</f>
        <v>0</v>
      </c>
      <c r="N52" s="321" t="str">
        <f t="shared" si="7"/>
        <v/>
      </c>
      <c r="R52" s="742"/>
      <c r="S52" s="731"/>
      <c r="T52" s="107"/>
      <c r="U52" s="747"/>
      <c r="V52" s="731"/>
    </row>
    <row r="53" spans="2:22" ht="15.95" customHeight="1" thickBot="1" x14ac:dyDescent="0.25">
      <c r="B53" s="1394" t="s">
        <v>43</v>
      </c>
      <c r="C53" s="1395"/>
      <c r="D53" s="514">
        <f>G8</f>
        <v>0</v>
      </c>
      <c r="E53" s="516"/>
      <c r="F53" s="517" t="s">
        <v>469</v>
      </c>
      <c r="G53" s="521" t="b">
        <f ca="1">IF(ROUNDUP($G$50,0)&lt;=ROUNDUP($D$55+IF(OR($M$79=TRUE,$M$80=TRUE),100,10),0),TRUE,FALSE)</f>
        <v>1</v>
      </c>
      <c r="J53" s="259" t="s">
        <v>3</v>
      </c>
      <c r="K53" s="253"/>
      <c r="L53" s="101" t="b">
        <f>IF(Berechnung!V42="",FALSE,TRUE)</f>
        <v>0</v>
      </c>
      <c r="M53" s="101" t="b">
        <f>IF(L53=FALSE,FALSE,IF(AND(Berechnung!V42&gt;=0,ISNUMBER(Berechnung!V42)),TRUE,FALSE))</f>
        <v>0</v>
      </c>
      <c r="N53" s="321" t="str">
        <f t="shared" si="7"/>
        <v/>
      </c>
      <c r="O53" s="309" t="s">
        <v>353</v>
      </c>
      <c r="R53" s="742"/>
      <c r="S53" s="731"/>
      <c r="T53" s="107"/>
      <c r="U53" s="747"/>
      <c r="V53" s="731"/>
    </row>
    <row r="54" spans="2:22" ht="15.95" customHeight="1" thickTop="1" thickBot="1" x14ac:dyDescent="0.25">
      <c r="B54" s="1394" t="s">
        <v>349</v>
      </c>
      <c r="C54" s="1450"/>
      <c r="D54" s="515">
        <f>$G$9-IF(AND($L$16=TRUE,$R$90=TRUE,$U$5=TRUE),$R$85,IF(AND($L$17=TRUE,$G$72=TRUE,Grunddaten!$H$40=TRUE),G74,0))</f>
        <v>3000</v>
      </c>
      <c r="E54" s="516"/>
      <c r="F54" s="517" t="s">
        <v>467</v>
      </c>
      <c r="G54" s="518" t="b">
        <f>IF(LEN(TRUNC($D$56))&gt;15,FALSE,TRUE)</f>
        <v>1</v>
      </c>
      <c r="H54" s="420"/>
      <c r="J54" s="259" t="s">
        <v>304</v>
      </c>
      <c r="K54" s="253"/>
      <c r="L54" s="101" t="b">
        <f>IF(OR(AND(M77=FALSE,M78=FALSE),Berechnung!V43=""),FALSE,TRUE)</f>
        <v>0</v>
      </c>
      <c r="M54" s="101" t="b">
        <f>IF(L54=FALSE,FALSE,IF(AND(Berechnung!V43&gt;=0,ISNUMBER(Berechnung!V43)),TRUE,FALSE))</f>
        <v>0</v>
      </c>
      <c r="N54" s="321" t="str">
        <f t="shared" si="7"/>
        <v/>
      </c>
      <c r="O54" s="328" t="s">
        <v>355</v>
      </c>
      <c r="R54" s="1430" t="s">
        <v>22</v>
      </c>
      <c r="S54" s="1430"/>
      <c r="T54" s="1430"/>
      <c r="U54" s="1430"/>
      <c r="V54" s="1430"/>
    </row>
    <row r="55" spans="2:22" ht="15.95" customHeight="1" thickTop="1" thickBot="1" x14ac:dyDescent="0.25">
      <c r="B55" s="1394" t="s">
        <v>74</v>
      </c>
      <c r="C55" s="1450"/>
      <c r="D55" s="515">
        <f>IF(OR(M79=TRUE,M80=TRUE),G24,IF(G31=TRUE,G50,G25))</f>
        <v>120</v>
      </c>
      <c r="E55" s="516"/>
      <c r="F55" s="517" t="s">
        <v>468</v>
      </c>
      <c r="G55" s="513" t="b">
        <f>IF(D56&lt;1,FALSE,TRUE)</f>
        <v>0</v>
      </c>
      <c r="H55" s="525"/>
      <c r="J55" s="259" t="s">
        <v>305</v>
      </c>
      <c r="K55" s="253"/>
      <c r="L55" s="75" t="b">
        <v>1</v>
      </c>
      <c r="M55" s="101" t="b">
        <f>IF(OR(L55=FALSE,Berechnung!I44=0,AND(D84&gt;0,Berechnung!I44=0)),FALSE,IF(OR(Berechnung!I44=0,AND(D84&gt;0,Berechnung!V44=0),Berechnung!I44=""),FALSE,IF(OR(AND(M3=TRUE,L86=TRUE),ROUND(Berechnung!V44*100/Berechnung!I44,2)&gt;=D84),TRUE,FALSE)))</f>
        <v>0</v>
      </c>
      <c r="N55" s="321" t="str">
        <f t="shared" si="7"/>
        <v>i</v>
      </c>
      <c r="O55" s="884">
        <f>IF(COUNTIF($L$12:$L$19,TRUE)&lt;&gt;1,MAX($P$12:$P$19),INDEX($P$12:$P$19,MATCH(TRUE,$L$12:$L$19,0),1))</f>
        <v>3000</v>
      </c>
      <c r="R55" s="753" t="s">
        <v>143</v>
      </c>
      <c r="S55" s="752">
        <f>IF(U55=TRUE,$U$31+((V55-1)*$V$30),0)</f>
        <v>100</v>
      </c>
      <c r="T55" s="107" t="b">
        <v>1</v>
      </c>
      <c r="U55" s="747" t="b">
        <f>T55</f>
        <v>1</v>
      </c>
      <c r="V55" s="752">
        <f>IF(U55=FALSE,0,COUNTIF($U$55:U55,TRUE))</f>
        <v>1</v>
      </c>
    </row>
    <row r="56" spans="2:22" ht="15.95" customHeight="1" thickTop="1" thickBot="1" x14ac:dyDescent="0.25">
      <c r="B56" s="1394" t="s">
        <v>49</v>
      </c>
      <c r="C56" s="1450"/>
      <c r="D56" s="553">
        <v>0</v>
      </c>
      <c r="E56" s="519" t="s">
        <v>457</v>
      </c>
      <c r="F56" s="520"/>
      <c r="G56" s="546">
        <f>IF(D53=0,0,MIN(D54,ROUND(D44/D53,2)))</f>
        <v>0</v>
      </c>
      <c r="H56" s="510"/>
      <c r="J56" s="259" t="s">
        <v>438</v>
      </c>
      <c r="K56" s="253"/>
      <c r="L56" s="101" t="b">
        <f>IF(AND(Berechnung!$V$48="",Berechnung!$V$49=""),FALSE,TRUE)</f>
        <v>0</v>
      </c>
      <c r="M56" s="101" t="b">
        <f>IF(L56=FALSE,FALSE,IF(OR(AND(Berechnung!$V$48&gt;=0,ISNUMBER(Berechnung!$V$48)),AND(Berechnung!$V$49&gt;=0,ISNUMBER(Berechnung!$V$49))),TRUE,FALSE))</f>
        <v>0</v>
      </c>
      <c r="N56" s="321" t="str">
        <f t="shared" si="7"/>
        <v/>
      </c>
      <c r="O56" s="328" t="s">
        <v>356</v>
      </c>
      <c r="R56" s="753" t="s">
        <v>651</v>
      </c>
      <c r="S56" s="752">
        <f t="shared" ref="S56:S57" si="9">IF(U56=TRUE,$U$31+((V56-1)*$V$30),0)</f>
        <v>130</v>
      </c>
      <c r="T56" s="107" t="b">
        <v>1</v>
      </c>
      <c r="U56" s="747" t="b">
        <f t="shared" ref="U56:U58" si="10">T56</f>
        <v>1</v>
      </c>
      <c r="V56" s="752">
        <f>IF(U56=FALSE,0,COUNTIF($U$55:U56,TRUE))</f>
        <v>2</v>
      </c>
    </row>
    <row r="57" spans="2:22" ht="15.95" customHeight="1" thickTop="1" x14ac:dyDescent="0.2">
      <c r="B57" s="80"/>
      <c r="C57" s="80"/>
      <c r="D57" s="81"/>
      <c r="E57" s="81"/>
      <c r="F57" s="81"/>
      <c r="G57" s="81"/>
      <c r="J57" s="258" t="s">
        <v>20</v>
      </c>
      <c r="K57" s="94"/>
      <c r="L57" s="94"/>
      <c r="M57" s="95"/>
      <c r="N57" s="321"/>
      <c r="O57" s="884">
        <f>IF(COUNTIF($L$12:$L$19,TRUE)&lt;&gt;1,MAX($Q$12:$Q$19),INDEX($Q$12:$Q$19,MATCH(TRUE,$L$12:$L$19,0),1))</f>
        <v>3000</v>
      </c>
      <c r="R57" s="753" t="s">
        <v>652</v>
      </c>
      <c r="S57" s="752">
        <f t="shared" si="9"/>
        <v>160</v>
      </c>
      <c r="T57" s="107" t="b">
        <v>1</v>
      </c>
      <c r="U57" s="747" t="b">
        <f t="shared" si="10"/>
        <v>1</v>
      </c>
      <c r="V57" s="752">
        <f>IF(U57=FALSE,0,COUNTIF($U$55:U57,TRUE))</f>
        <v>3</v>
      </c>
    </row>
    <row r="58" spans="2:22" ht="15.95" customHeight="1" x14ac:dyDescent="0.2">
      <c r="B58" s="82"/>
      <c r="C58" s="82"/>
      <c r="D58" s="83"/>
      <c r="E58" s="83"/>
      <c r="F58" s="83"/>
      <c r="G58" s="1034"/>
      <c r="H58" s="420"/>
      <c r="J58" s="259" t="s">
        <v>92</v>
      </c>
      <c r="K58" s="253"/>
      <c r="L58" s="101" t="b">
        <f>IF(Berechnung!V58&lt;&gt;"",TRUE,FALSE)</f>
        <v>0</v>
      </c>
      <c r="M58" s="101" t="b">
        <f>IF(L58=FALSE,FALSE,IF(ISNUMBER(Berechnung!V58),TRUE,FALSE))</f>
        <v>0</v>
      </c>
      <c r="N58" s="321" t="str">
        <f t="shared" ref="N58:N63" si="11">IF(L58&lt;&gt;M58,"i","")</f>
        <v/>
      </c>
      <c r="O58" s="328" t="s">
        <v>354</v>
      </c>
      <c r="R58" s="753" t="s">
        <v>140</v>
      </c>
      <c r="S58" s="752">
        <f t="shared" ref="S58:S59" si="12">IF(U58=TRUE,$U$31+((V58-1)*$V$30),0)</f>
        <v>190</v>
      </c>
      <c r="T58" s="107" t="b">
        <v>1</v>
      </c>
      <c r="U58" s="747" t="b">
        <f t="shared" si="10"/>
        <v>1</v>
      </c>
      <c r="V58" s="752">
        <f>IF(U58=FALSE,0,COUNTIF($U$55:U58,TRUE))</f>
        <v>4</v>
      </c>
    </row>
    <row r="59" spans="2:22" ht="15.95" customHeight="1" x14ac:dyDescent="0.2">
      <c r="B59" s="1352" t="s">
        <v>346</v>
      </c>
      <c r="C59" s="1353"/>
      <c r="D59" s="1353"/>
      <c r="E59" s="1353"/>
      <c r="F59" s="1353"/>
      <c r="G59" s="1354"/>
      <c r="H59" s="420"/>
      <c r="J59" s="259" t="s">
        <v>71</v>
      </c>
      <c r="K59" s="253"/>
      <c r="L59" s="79" t="b">
        <v>1</v>
      </c>
      <c r="M59" s="108" t="b">
        <f>IF(AND(ISNUMBER(Berechnung!S59),Berechnung!S59&gt;=Grunddaten!$H$58),TRUE,FALSE)</f>
        <v>1</v>
      </c>
      <c r="N59" s="321" t="str">
        <f t="shared" si="11"/>
        <v/>
      </c>
      <c r="O59" s="884">
        <f>IF(COUNTIF($L$12:$L$19,TRUE)&lt;&gt;1,MAX($R$12:$R$19),INDEX($R$12:$R$19,MATCH(TRUE,$L$12:$L$19,0),1))</f>
        <v>2000</v>
      </c>
      <c r="R59" s="753" t="s">
        <v>660</v>
      </c>
      <c r="S59" s="752">
        <f t="shared" si="12"/>
        <v>0</v>
      </c>
      <c r="T59" s="107" t="b">
        <v>1</v>
      </c>
      <c r="U59" s="747" t="b">
        <f>IF(AND(T59=TRUE,$D$3=TRUE,Grunddaten!$G$1=FALSE),TRUE,FALSE)</f>
        <v>0</v>
      </c>
      <c r="V59" s="752">
        <f>IF(U59=FALSE,0,COUNTIF($U$55:U59,TRUE))</f>
        <v>0</v>
      </c>
    </row>
    <row r="60" spans="2:22" ht="15.95" customHeight="1" x14ac:dyDescent="0.2">
      <c r="B60" s="1447" t="s">
        <v>105</v>
      </c>
      <c r="C60" s="1447"/>
      <c r="D60" s="1447"/>
      <c r="E60" s="1447"/>
      <c r="F60" s="1447"/>
      <c r="G60" s="314" t="b">
        <f>IF(AND($M$79=FALSE,$M$80=FALSE),FALSE,IF(OR(AND(G30=FALSE,G32=FALSE),G34=FALSE,AND(D56=0,G50&gt;D55),D46&lt;=0),FALSE,IF(ROUND(D56,2)&lt;ROUND(B64,2),TRUE,FALSE)))</f>
        <v>0</v>
      </c>
      <c r="H60" s="420"/>
      <c r="J60" s="325" t="s">
        <v>439</v>
      </c>
      <c r="K60" s="334"/>
      <c r="L60" s="323" t="b">
        <f>IF(D41&gt;0,TRUE,FALSE)</f>
        <v>0</v>
      </c>
      <c r="M60" s="323" t="b">
        <f>IF(L60=FALSE,FALSE,IF(AND(Berechnung!Q62&gt;=0,ISNUMBER(Berechnung!Q62)),TRUE,FALSE))</f>
        <v>0</v>
      </c>
      <c r="N60" s="321" t="str">
        <f t="shared" si="11"/>
        <v/>
      </c>
      <c r="O60" s="328" t="s">
        <v>313</v>
      </c>
      <c r="R60" s="748" t="s">
        <v>661</v>
      </c>
      <c r="S60" s="749">
        <f>IF(U60=TRUE,$U$32+((V60-1)*$V$30),0)</f>
        <v>0</v>
      </c>
      <c r="T60" s="107" t="b">
        <v>1</v>
      </c>
      <c r="U60" s="747" t="b">
        <f>IF(AND(T60=TRUE,$D$3=TRUE,Grunddaten!$G$1=TRUE),TRUE,FALSE)</f>
        <v>0</v>
      </c>
      <c r="V60" s="749">
        <f>IF(U60=FALSE,0,COUNTIF($U$60:U60,TRUE))</f>
        <v>0</v>
      </c>
    </row>
    <row r="61" spans="2:22" ht="15.95" customHeight="1" x14ac:dyDescent="0.2">
      <c r="B61" s="288" t="s">
        <v>345</v>
      </c>
      <c r="C61" s="289"/>
      <c r="D61" s="116">
        <f>IF(G20&gt;G19,0,IF(D53*D54&gt;D44,D44,D53*D54))</f>
        <v>0</v>
      </c>
      <c r="E61" s="1390" t="s">
        <v>104</v>
      </c>
      <c r="F61" s="1391"/>
      <c r="G61" s="104">
        <f>ROUND(D61*$G$20/100,2)</f>
        <v>0</v>
      </c>
      <c r="H61" s="316"/>
      <c r="J61" s="325" t="s">
        <v>508</v>
      </c>
      <c r="K61" s="334"/>
      <c r="L61" s="323" t="b">
        <f>L60</f>
        <v>0</v>
      </c>
      <c r="M61" s="323" t="b">
        <f>IF(L61=FALSE,FALSE,IF(AND(Berechnung!S62&gt;=0,ISNUMBER(Berechnung!S62)),TRUE,FALSE))</f>
        <v>0</v>
      </c>
      <c r="N61" s="321" t="str">
        <f t="shared" si="11"/>
        <v/>
      </c>
      <c r="O61" s="884">
        <f>IF(COUNTIF($L$12:$L$19,TRUE)&lt;&gt;1,MAX($Y$12:$Y$19),INDEX($Y$12:$Y$19,MATCH(TRUE,$L$12:$L$19,0),1))</f>
        <v>200</v>
      </c>
      <c r="R61" s="742"/>
      <c r="S61" s="731"/>
      <c r="T61" s="107"/>
      <c r="U61" s="747"/>
      <c r="V61" s="731"/>
    </row>
    <row r="62" spans="2:22" ht="15.95" customHeight="1" x14ac:dyDescent="0.2">
      <c r="B62" s="288" t="s">
        <v>344</v>
      </c>
      <c r="C62" s="289"/>
      <c r="D62" s="116">
        <f>IF($H$77=FALSE,0,$H$113)</f>
        <v>0</v>
      </c>
      <c r="E62" s="1390" t="s">
        <v>104</v>
      </c>
      <c r="F62" s="1391"/>
      <c r="G62" s="104">
        <f>ROUND(D62*$G$20/100,2)</f>
        <v>0</v>
      </c>
      <c r="J62" s="259" t="s">
        <v>94</v>
      </c>
      <c r="K62" s="253"/>
      <c r="L62" s="75" t="b">
        <v>1</v>
      </c>
      <c r="M62" s="101" t="b">
        <f>IF(AND(Berechnung!$Q$63&gt;=0,ISNUMBER(Berechnung!$Q$63),Berechnung!$D$65=""),TRUE,FALSE)</f>
        <v>0</v>
      </c>
      <c r="N62" s="321" t="str">
        <f t="shared" si="11"/>
        <v>i</v>
      </c>
      <c r="O62" s="328" t="s">
        <v>741</v>
      </c>
      <c r="R62" s="742"/>
      <c r="S62" s="731"/>
      <c r="T62" s="107"/>
      <c r="U62" s="747"/>
      <c r="V62" s="731"/>
    </row>
    <row r="63" spans="2:22" ht="15.95" customHeight="1" x14ac:dyDescent="0.2">
      <c r="B63" s="290" t="s">
        <v>436</v>
      </c>
      <c r="C63" s="291"/>
      <c r="D63" s="383">
        <f>D38-D39-D40-D61</f>
        <v>0</v>
      </c>
      <c r="E63" s="1459" t="s">
        <v>104</v>
      </c>
      <c r="F63" s="1460"/>
      <c r="G63" s="104">
        <f>ROUND(D63*$G$19/100,2)</f>
        <v>0</v>
      </c>
      <c r="J63" s="259" t="s">
        <v>95</v>
      </c>
      <c r="K63" s="253"/>
      <c r="L63" s="75" t="b">
        <v>1</v>
      </c>
      <c r="M63" s="101" t="b">
        <f>IF(AND(Berechnung!$S$63&gt;=0,ISNUMBER(Berechnung!$S$63),Berechnung!$D$65=""),TRUE,FALSE)</f>
        <v>0</v>
      </c>
      <c r="N63" s="321" t="str">
        <f t="shared" si="11"/>
        <v>i</v>
      </c>
      <c r="O63" s="885">
        <f>IF(COUNTIF($L$12:$L$19,TRUE)&lt;&gt;1,MAX($AA$12:$AA$19),INDEX($AA$12:$AA$19,MATCH(TRUE,$L$12:$L$19,0),1))</f>
        <v>100</v>
      </c>
      <c r="R63" s="1430" t="s">
        <v>318</v>
      </c>
      <c r="S63" s="1430"/>
      <c r="T63" s="1430"/>
      <c r="U63" s="1430"/>
      <c r="V63" s="1430"/>
    </row>
    <row r="64" spans="2:22" ht="15.95" customHeight="1" x14ac:dyDescent="0.2">
      <c r="B64" s="318">
        <f>IF(OR(G8="",G8=0),0,D61/G8)</f>
        <v>0</v>
      </c>
      <c r="C64" s="319" t="s">
        <v>347</v>
      </c>
      <c r="D64" s="317"/>
      <c r="E64" s="317"/>
      <c r="F64" s="287" t="s">
        <v>828</v>
      </c>
      <c r="G64" s="121">
        <f ca="1">G38-SUM(G44,G48,G61:G63,G45)</f>
        <v>0</v>
      </c>
      <c r="J64" s="258" t="s">
        <v>38</v>
      </c>
      <c r="K64" s="94"/>
      <c r="L64" s="94"/>
      <c r="M64" s="95"/>
      <c r="N64" s="321"/>
      <c r="O64" s="328" t="s">
        <v>742</v>
      </c>
      <c r="R64" s="753" t="s">
        <v>143</v>
      </c>
      <c r="S64" s="752">
        <f>IF(U64=TRUE,$V$31+((V64-1)*$V$30),0)</f>
        <v>100</v>
      </c>
      <c r="T64" s="107" t="b">
        <v>1</v>
      </c>
      <c r="U64" s="747" t="b">
        <f>T64</f>
        <v>1</v>
      </c>
      <c r="V64" s="752">
        <f>IF(U64=FALSE,0,COUNTIF($U$64:U64,TRUE))</f>
        <v>1</v>
      </c>
    </row>
    <row r="65" spans="2:22" ht="15.95" customHeight="1" x14ac:dyDescent="0.2">
      <c r="J65" s="259" t="s">
        <v>50</v>
      </c>
      <c r="K65" s="253"/>
      <c r="L65" s="101" t="b">
        <f>IF(AND(OR($L$16=TRUE,$L$17=TRUE),OR(Berechnung!$K$21="",Berechnung!$K$21="Ja",$M$81=TRUE)),FALSE,TRUE)</f>
        <v>0</v>
      </c>
      <c r="M65" s="101" t="b">
        <f>IF(L65=FALSE,FALSE,IF(OR(LEFT(Berechnung!G70,1)="J",LEFT(Berechnung!G70,1)="N"),TRUE,FALSE))</f>
        <v>0</v>
      </c>
      <c r="N65" s="321" t="str">
        <f>IF(L65&lt;&gt;M65,"i","")</f>
        <v/>
      </c>
      <c r="O65" s="885">
        <f>IF(COUNTIF($L$12:$L$19,TRUE)&lt;&gt;1,MAX($AB$12:$AB$19),INDEX($AB$12:$AB$19,MATCH(TRUE,$L$12:$L$19,0),1))</f>
        <v>100</v>
      </c>
      <c r="R65" s="753" t="s">
        <v>651</v>
      </c>
      <c r="S65" s="752">
        <f t="shared" ref="S65:S68" si="13">IF(U65=TRUE,$V$31+((V65-1)*$V$30),0)</f>
        <v>130</v>
      </c>
      <c r="T65" s="107" t="b">
        <v>1</v>
      </c>
      <c r="U65" s="747" t="b">
        <f t="shared" ref="U65:U67" si="14">T65</f>
        <v>1</v>
      </c>
      <c r="V65" s="752">
        <f>IF(U65=FALSE,0,COUNTIF($U$64:U65,TRUE))</f>
        <v>2</v>
      </c>
    </row>
    <row r="66" spans="2:22" ht="15.95" customHeight="1" x14ac:dyDescent="0.2">
      <c r="J66" s="259" t="s">
        <v>794</v>
      </c>
      <c r="K66" s="253"/>
      <c r="L66" s="75" t="b">
        <v>1</v>
      </c>
      <c r="M66" s="101" t="b">
        <f>IF(L66=FALSE,FALSE,IF(AND(OR(Berechnung!V31="",Berechnung!V31=0),Berechnung!G68=""),TRUE,IF(AND(Berechnung!G68&lt;&gt;"",ISNUMBER(Berechnung!G68),Berechnung!G68&gt;=0),TRUE,FALSE)))</f>
        <v>1</v>
      </c>
      <c r="N66" s="321" t="str">
        <f>IF(L66&lt;&gt;M66,"i","")</f>
        <v/>
      </c>
      <c r="O66" s="328" t="s">
        <v>751</v>
      </c>
      <c r="R66" s="753" t="s">
        <v>22</v>
      </c>
      <c r="S66" s="752">
        <f t="shared" si="13"/>
        <v>160</v>
      </c>
      <c r="T66" s="107" t="b">
        <v>1</v>
      </c>
      <c r="U66" s="747" t="b">
        <f t="shared" si="14"/>
        <v>1</v>
      </c>
      <c r="V66" s="752">
        <f>IF(U66=FALSE,0,COUNTIF($U$64:U66,TRUE))</f>
        <v>3</v>
      </c>
    </row>
    <row r="67" spans="2:22" ht="15.95" customHeight="1" x14ac:dyDescent="0.2">
      <c r="B67" s="1352" t="s">
        <v>57</v>
      </c>
      <c r="C67" s="1353"/>
      <c r="D67" s="1353"/>
      <c r="E67" s="1354"/>
      <c r="G67" s="125" t="s">
        <v>313</v>
      </c>
      <c r="J67" s="259" t="s">
        <v>191</v>
      </c>
      <c r="K67" s="253"/>
      <c r="L67" s="75" t="b">
        <v>1</v>
      </c>
      <c r="M67" s="101" t="b">
        <f>IF(L67=FALSE,FALSE,IF(AND(OR(Berechnung!V31="",Berechnung!V31=0),Berechnung!G69=""),TRUE,IF(AND(Berechnung!G69&lt;&gt;"",ISNUMBER(Berechnung!G69),Berechnung!G69&gt;=0),TRUE,FALSE)))</f>
        <v>1</v>
      </c>
      <c r="N67" s="321" t="str">
        <f>IF(L67&lt;&gt;M67,"i","")</f>
        <v/>
      </c>
      <c r="O67" s="885">
        <f>IF(COUNTIF($L$12:$L$19,TRUE)&lt;&gt;1,MAX($AC$12:$AC$19),INDEX($AC$12:$AC$19,MATCH(TRUE,$L$12:$L$19,0),1))</f>
        <v>100</v>
      </c>
      <c r="R67" s="753" t="s">
        <v>140</v>
      </c>
      <c r="S67" s="752">
        <f t="shared" si="13"/>
        <v>190</v>
      </c>
      <c r="T67" s="107" t="b">
        <v>1</v>
      </c>
      <c r="U67" s="747" t="b">
        <f t="shared" si="14"/>
        <v>1</v>
      </c>
      <c r="V67" s="752">
        <f>IF(U67=FALSE,0,COUNTIF($U$64:U67,TRUE))</f>
        <v>4</v>
      </c>
    </row>
    <row r="68" spans="2:22" ht="15.95" customHeight="1" x14ac:dyDescent="0.2">
      <c r="B68" s="1364" t="s">
        <v>59</v>
      </c>
      <c r="C68" s="1365"/>
      <c r="D68" s="1365"/>
      <c r="E68" s="1366"/>
      <c r="G68" s="269" t="s">
        <v>605</v>
      </c>
      <c r="J68" s="258" t="s">
        <v>278</v>
      </c>
      <c r="K68" s="94"/>
      <c r="L68" s="94"/>
      <c r="M68" s="95"/>
      <c r="N68" s="321" t="str">
        <f>IF(L69&lt;&gt;M69,"i","")</f>
        <v/>
      </c>
      <c r="O68" s="328" t="s">
        <v>739</v>
      </c>
      <c r="R68" s="753" t="s">
        <v>660</v>
      </c>
      <c r="S68" s="752">
        <f t="shared" si="13"/>
        <v>0</v>
      </c>
      <c r="T68" s="107" t="b">
        <v>1</v>
      </c>
      <c r="U68" s="747" t="b">
        <f>IF(AND(T68=TRUE,D3=TRUE),TRUE,FALSE)</f>
        <v>0</v>
      </c>
      <c r="V68" s="752">
        <f>IF(U68=FALSE,0,COUNTIF($U$64:U68,TRUE))</f>
        <v>0</v>
      </c>
    </row>
    <row r="69" spans="2:22" ht="15.95" customHeight="1" thickBot="1" x14ac:dyDescent="0.25">
      <c r="B69" s="1355" t="s">
        <v>60</v>
      </c>
      <c r="C69" s="1356"/>
      <c r="D69" s="1336">
        <f>D72*D53</f>
        <v>0</v>
      </c>
      <c r="E69" s="1372" t="s">
        <v>829</v>
      </c>
      <c r="G69" s="390">
        <f>Grunddaten!H47</f>
        <v>200</v>
      </c>
      <c r="J69" s="671" t="s">
        <v>733</v>
      </c>
      <c r="K69" s="672"/>
      <c r="L69" s="101" t="b">
        <f>IF(AND($M$3=TRUE,OR($M$79=TRUE,$M$80=TRUE)),TRUE,FALSE)</f>
        <v>0</v>
      </c>
      <c r="M69" s="101" t="b">
        <f>IF(L69=FALSE,FALSE,IF(Berechnung!U83&lt;&gt;"",TRUE,FALSE))</f>
        <v>0</v>
      </c>
      <c r="N69" s="321" t="str">
        <f>IF(L70&lt;&gt;M70,"i","")</f>
        <v/>
      </c>
      <c r="O69" s="885">
        <f>IF(COUNTIF($L$12:$L$19,TRUE)&lt;&gt;1,MAX($AD$12:$AD$19),INDEX($AD$12:$AD$19,MATCH(TRUE,$L$12:$L$19,0),1))</f>
        <v>45</v>
      </c>
      <c r="R69" s="748" t="s">
        <v>661</v>
      </c>
      <c r="S69" s="749">
        <f>IF(U69=TRUE,$V$32+((V69-1)*$V$30),0)</f>
        <v>0</v>
      </c>
      <c r="T69" s="107" t="b">
        <v>1</v>
      </c>
      <c r="U69" s="747" t="b">
        <f>IF(AND(T69=TRUE,D3=TRUE,Programmversionen!$D$1=FALSE),TRUE,FALSE)</f>
        <v>0</v>
      </c>
      <c r="V69" s="749">
        <f>IF(U69=FALSE,0,COUNTIF($U$69:U69,TRUE))</f>
        <v>0</v>
      </c>
    </row>
    <row r="70" spans="2:22" ht="15.95" customHeight="1" thickTop="1" thickBot="1" x14ac:dyDescent="0.25">
      <c r="B70" s="1357"/>
      <c r="C70" s="1358"/>
      <c r="D70" s="1336"/>
      <c r="E70" s="1373"/>
      <c r="G70" s="391">
        <f>IF(OR(AND(M76=FALSE,M78=FALSE,M80=FALSE),L29&lt;&gt;M29),0,G69*D53)</f>
        <v>0</v>
      </c>
      <c r="J70" s="259" t="s">
        <v>91</v>
      </c>
      <c r="K70" s="253"/>
      <c r="L70" s="101" t="b">
        <f>IF(AND(OR($M$79=TRUE,$M$80=TRUE),OR($M$3=FALSE,Berechnung!U83="Nein",Berechnung!U83="")),TRUE,FALSE)</f>
        <v>0</v>
      </c>
      <c r="M70" s="101" t="b">
        <f>IF(L70=FALSE,FALSE,IF(AND(ISNUMBER(Berechnung!V84),Berechnung!V84&gt;=0),TRUE,FALSE))</f>
        <v>0</v>
      </c>
      <c r="N70" s="321" t="str">
        <f>IF(L70&lt;&gt;M70,"i","")</f>
        <v/>
      </c>
      <c r="O70" s="885">
        <f>IF(COUNTIF($L$12:$L$19,TRUE)&lt;&gt;1,MAX($AE$12:$AE$19),INDEX($AE$12:$AE$19,MATCH(TRUE,$L$12:$L$19,0),1))</f>
        <v>30</v>
      </c>
      <c r="R70" s="742"/>
      <c r="S70" s="731"/>
      <c r="T70" s="107"/>
      <c r="U70" s="747"/>
      <c r="V70" s="731"/>
    </row>
    <row r="71" spans="2:22" ht="15.95" customHeight="1" thickTop="1" thickBot="1" x14ac:dyDescent="0.25">
      <c r="B71" s="1359"/>
      <c r="C71" s="1360"/>
      <c r="D71" s="1336"/>
      <c r="E71" s="1040">
        <f>IF(OR(M79=TRUE,M80=TRUE),100,10)</f>
        <v>10</v>
      </c>
      <c r="G71" s="268" t="s">
        <v>221</v>
      </c>
      <c r="J71" s="263" t="s">
        <v>9</v>
      </c>
      <c r="K71" s="256"/>
      <c r="L71" s="109">
        <f>COUNTIF(L24:L70,TRUE)</f>
        <v>27</v>
      </c>
      <c r="M71" s="109">
        <f>COUNTIF(M24:M70,TRUE)</f>
        <v>13</v>
      </c>
      <c r="N71" s="321" t="str">
        <f t="shared" ref="N71" si="15">IF(L71&lt;&gt;M71,"i","")</f>
        <v>i</v>
      </c>
      <c r="O71" s="885">
        <f>IF(COUNTIF($L$12:$L$19,TRUE)&lt;&gt;1,MAX($AF$12:$AF$19),INDEX($AF$12:$AF$19,MATCH(TRUE,$L$12:$L$19,0),1))</f>
        <v>25</v>
      </c>
      <c r="R71" s="742"/>
      <c r="S71" s="731"/>
      <c r="T71" s="107"/>
      <c r="U71" s="747"/>
      <c r="V71" s="731"/>
    </row>
    <row r="72" spans="2:22" ht="15.95" customHeight="1" thickTop="1" thickBot="1" x14ac:dyDescent="0.25">
      <c r="B72" s="1361" t="s">
        <v>402</v>
      </c>
      <c r="C72" s="1362"/>
      <c r="D72" s="406">
        <f>IF(OR(M75=TRUE,M77=TRUE),Grunddaten!H41,IF(OR(M76=TRUE,M78=TRUE),Grunddaten!H42,IF(OR(M79=TRUE,M80=TRUE),Grunddaten!H43,0)))</f>
        <v>3000</v>
      </c>
      <c r="E72" s="322" t="s">
        <v>827</v>
      </c>
      <c r="G72" s="123" t="b">
        <f>IF(AND(OR($L$16=TRUE,$L$17=TRUE),OR(AND($M$75=TRUE,$O$75=TRUE),AND($M$77=TRUE,$O$77=TRUE),AND($M$79=TRUE,$O$79=TRUE),AND($M$81=TRUE,$O$81=TRUE))),FALSE,IF(G50&lt;=(D55+E71),TRUE,FALSE))</f>
        <v>0</v>
      </c>
    </row>
    <row r="73" spans="2:22" ht="15.95" customHeight="1" thickTop="1" thickBot="1" x14ac:dyDescent="0.25">
      <c r="B73" s="1361" t="s">
        <v>61</v>
      </c>
      <c r="C73" s="1363"/>
      <c r="D73" s="382">
        <f>$G$70</f>
        <v>0</v>
      </c>
      <c r="E73" s="1039">
        <f>IF(OR(M79=TRUE,M80=TRUE),2,-1)</f>
        <v>-1</v>
      </c>
      <c r="G73" s="392">
        <f>IF(OR(AND(M76=FALSE,M78=FALSE,M80=FALSE),L29&lt;&gt;M29),0,G74*D53)</f>
        <v>0</v>
      </c>
      <c r="Q73" s="730"/>
    </row>
    <row r="74" spans="2:22" ht="15.95" customHeight="1" thickTop="1" x14ac:dyDescent="0.2">
      <c r="B74" s="1367" t="s">
        <v>73</v>
      </c>
      <c r="C74" s="1368"/>
      <c r="D74" s="1368"/>
      <c r="E74" s="1369"/>
      <c r="G74" s="393">
        <f>IF(AND(OR($L$16=TRUE,$L$17=TRUE),$M$81=TRUE),0,MAX(0,MIN(G69,IF(OR(G19=0,D53=0),0,G69-(((G50-D55-E71)/G19*100)/D53)))))</f>
        <v>0</v>
      </c>
      <c r="J74" s="264" t="s">
        <v>53</v>
      </c>
      <c r="K74" s="96"/>
      <c r="L74" s="96"/>
      <c r="M74" s="97"/>
      <c r="N74" s="309" t="s">
        <v>343</v>
      </c>
      <c r="O74" s="1035" t="s">
        <v>825</v>
      </c>
      <c r="Q74" s="732" t="s">
        <v>642</v>
      </c>
      <c r="R74" s="733" t="s">
        <v>630</v>
      </c>
      <c r="S74" s="733" t="s">
        <v>681</v>
      </c>
    </row>
    <row r="75" spans="2:22" ht="15.95" customHeight="1" x14ac:dyDescent="0.2">
      <c r="B75" s="1361" t="s">
        <v>13</v>
      </c>
      <c r="C75" s="1362"/>
      <c r="D75" s="703">
        <f>Berechnung!Q59</f>
        <v>0.5</v>
      </c>
      <c r="E75" s="1019">
        <f>IF(E76=TRUE,Grunddaten!$H$59-D75,3)</f>
        <v>3</v>
      </c>
      <c r="J75" s="313" t="s">
        <v>18</v>
      </c>
      <c r="K75" s="93"/>
      <c r="L75" s="190">
        <v>1</v>
      </c>
      <c r="M75" s="110" t="b">
        <f t="shared" ref="M75:M79" si="16">IF($M$83=L75,TRUE,FALSE)</f>
        <v>0</v>
      </c>
      <c r="N75" s="310">
        <f>Grunddaten!H65</f>
        <v>100</v>
      </c>
      <c r="O75" s="1036" t="b">
        <v>1</v>
      </c>
      <c r="Q75" s="734" t="s">
        <v>629</v>
      </c>
      <c r="R75" s="735" t="b">
        <v>0</v>
      </c>
      <c r="S75" s="808">
        <v>0</v>
      </c>
    </row>
    <row r="76" spans="2:22" ht="15.95" customHeight="1" x14ac:dyDescent="0.2">
      <c r="B76" s="1361" t="s">
        <v>14</v>
      </c>
      <c r="C76" s="1362"/>
      <c r="D76" s="703">
        <f>Berechnung!S59</f>
        <v>2</v>
      </c>
      <c r="E76" s="418" t="b">
        <f>IF(E85&gt;1,TRUE,FALSE)</f>
        <v>0</v>
      </c>
      <c r="G76" s="1489" t="s">
        <v>393</v>
      </c>
      <c r="H76" s="1489"/>
      <c r="J76" s="313" t="s">
        <v>19</v>
      </c>
      <c r="K76" s="93"/>
      <c r="L76" s="190">
        <v>2</v>
      </c>
      <c r="M76" s="110" t="b">
        <f t="shared" si="16"/>
        <v>0</v>
      </c>
      <c r="N76" s="310">
        <f>Grunddaten!H65</f>
        <v>100</v>
      </c>
      <c r="O76" s="1036" t="b">
        <v>1</v>
      </c>
      <c r="Q76" s="734" t="s">
        <v>635</v>
      </c>
      <c r="R76" s="736" t="b">
        <f>IF(OR(L17=TRUE,M81=TRUE,M83=6),FALSE,TRUE)</f>
        <v>0</v>
      </c>
      <c r="S76" s="808">
        <v>1</v>
      </c>
    </row>
    <row r="77" spans="2:22" ht="15.95" customHeight="1" x14ac:dyDescent="0.2">
      <c r="B77" s="1370" t="s">
        <v>38</v>
      </c>
      <c r="C77" s="1371"/>
      <c r="D77" s="1371"/>
      <c r="E77" s="1366"/>
      <c r="G77" s="370" t="s">
        <v>718</v>
      </c>
      <c r="H77" s="128" t="b">
        <f>IF(AND(OR($L$16=TRUE,$L$17=TRUE),OR($M$81=TRUE,Berechnung!$K$21="Ja")),TRUE,FALSE)</f>
        <v>0</v>
      </c>
      <c r="J77" s="313" t="s">
        <v>683</v>
      </c>
      <c r="K77" s="93"/>
      <c r="L77" s="190">
        <v>3</v>
      </c>
      <c r="M77" s="110" t="b">
        <f t="shared" si="16"/>
        <v>1</v>
      </c>
      <c r="N77" s="310">
        <f>Grunddaten!H65</f>
        <v>100</v>
      </c>
      <c r="O77" s="1036" t="b">
        <v>1</v>
      </c>
      <c r="Q77" s="734" t="s">
        <v>636</v>
      </c>
      <c r="R77" s="736" t="b">
        <f>R76</f>
        <v>0</v>
      </c>
      <c r="S77" s="808">
        <v>2</v>
      </c>
    </row>
    <row r="78" spans="2:22" ht="15.95" customHeight="1" x14ac:dyDescent="0.2">
      <c r="B78" s="1355" t="s">
        <v>23</v>
      </c>
      <c r="C78" s="1356"/>
      <c r="D78" s="1487" t="s">
        <v>80</v>
      </c>
      <c r="E78" s="1494">
        <f>IF(OR(Berechnung!V35="",Berechnung!V35=0),0,Berechnung!V71/Berechnung!V35*100)</f>
        <v>0</v>
      </c>
      <c r="G78" s="370" t="s">
        <v>246</v>
      </c>
      <c r="H78" s="378">
        <f>IF($H$77=FALSE,0,MAX(0,Berechnung!I44))</f>
        <v>0</v>
      </c>
      <c r="J78" s="313" t="s">
        <v>684</v>
      </c>
      <c r="K78" s="93"/>
      <c r="L78" s="190">
        <v>4</v>
      </c>
      <c r="M78" s="110" t="b">
        <f t="shared" si="16"/>
        <v>0</v>
      </c>
      <c r="N78" s="310">
        <f>Grunddaten!H65</f>
        <v>100</v>
      </c>
      <c r="O78" s="1036" t="b">
        <v>1</v>
      </c>
      <c r="Q78" s="734" t="s">
        <v>637</v>
      </c>
      <c r="R78" s="736" t="b">
        <f>IF(AND($M$83&gt;0,$M$83&lt;=5),TRUE,FALSE)</f>
        <v>1</v>
      </c>
      <c r="S78" s="808">
        <v>3</v>
      </c>
    </row>
    <row r="79" spans="2:22" ht="15.95" customHeight="1" x14ac:dyDescent="0.2">
      <c r="B79" s="1359"/>
      <c r="C79" s="1360"/>
      <c r="D79" s="1488"/>
      <c r="E79" s="1495"/>
      <c r="G79" s="370" t="s">
        <v>247</v>
      </c>
      <c r="H79" s="378">
        <f>IF($H$77=FALSE,0,H78-H81)</f>
        <v>0</v>
      </c>
      <c r="J79" s="313" t="s">
        <v>52</v>
      </c>
      <c r="K79" s="93"/>
      <c r="L79" s="190">
        <v>5</v>
      </c>
      <c r="M79" s="110" t="b">
        <f t="shared" si="16"/>
        <v>0</v>
      </c>
      <c r="N79" s="310">
        <f>IF(LEFT(Berechnung!$K$17,1)="j",Grunddaten!H66,Grunddaten!H67)</f>
        <v>100</v>
      </c>
      <c r="O79" s="1036" t="b">
        <v>1</v>
      </c>
      <c r="Q79" s="734" t="s">
        <v>638</v>
      </c>
      <c r="R79" s="736" t="b">
        <f>IF(AND($M$83&gt;0,$M$83&lt;5,$R$92=FALSE),FALSE,IF(OR(AND($R$92=TRUE,$S$104=5),$M$83=5),TRUE,FALSE))</f>
        <v>0</v>
      </c>
      <c r="S79" s="808">
        <v>4</v>
      </c>
    </row>
    <row r="80" spans="2:22" ht="15.95" customHeight="1" x14ac:dyDescent="0.2">
      <c r="B80" s="1355" t="s">
        <v>440</v>
      </c>
      <c r="C80" s="1356"/>
      <c r="D80" s="1038">
        <f ca="1">IF(OR(LEFT(Berechnung!$K$21,1)="J",LEFT(Berechnung!$G$70,1)="J",AND(OR($L$16=TRUE,$L$17=TRUE),$M$81=TRUE)),Grunddaten!$P$88+Grunddaten!$P$89,Grunddaten!$P$88)</f>
        <v>10.61</v>
      </c>
      <c r="E80" s="1495"/>
      <c r="G80" s="370" t="s">
        <v>257</v>
      </c>
      <c r="H80" s="379">
        <f>IF($H$77=FALSE,0,SUM(Grunddaten!$H$50:$H$51))</f>
        <v>0</v>
      </c>
      <c r="J80" s="687" t="s">
        <v>780</v>
      </c>
      <c r="K80" s="685"/>
      <c r="L80" s="950">
        <v>7</v>
      </c>
      <c r="M80" s="951" t="b">
        <f>IF($M$83=L80,TRUE,FALSE)</f>
        <v>0</v>
      </c>
      <c r="N80" s="952">
        <f>N79</f>
        <v>100</v>
      </c>
      <c r="O80" s="1036" t="b">
        <f>IF($L$17=TRUE,TRUE,FALSE)</f>
        <v>1</v>
      </c>
      <c r="Q80" s="734" t="s">
        <v>639</v>
      </c>
      <c r="R80" s="736" t="b">
        <f>IF(AND($M$83&gt;0,$M$83&lt;5,$R$92=FALSE),FALSE,IF(OR(AND($R$92=TRUE,$S$104=5),$M$83=5),TRUE,FALSE))</f>
        <v>0</v>
      </c>
      <c r="S80" s="808">
        <v>5</v>
      </c>
    </row>
    <row r="81" spans="2:19" ht="15.95" customHeight="1" x14ac:dyDescent="0.2">
      <c r="B81" s="1359"/>
      <c r="C81" s="1360"/>
      <c r="D81" s="1038">
        <f ca="1">Grunddaten!$P$88</f>
        <v>10.61</v>
      </c>
      <c r="E81" s="1495"/>
      <c r="G81" s="370" t="s">
        <v>252</v>
      </c>
      <c r="H81" s="378">
        <f>IF($H$77=FALSE,0,IF(AND($L$16=FALSE,$L$17=FALSE),0,IF($M$81=FALSE,H82*H87,Berechnung!I40+Berechnung!I41)))</f>
        <v>0</v>
      </c>
      <c r="I81" s="774"/>
      <c r="J81" s="687" t="s">
        <v>229</v>
      </c>
      <c r="K81" s="93"/>
      <c r="L81" s="190">
        <v>6</v>
      </c>
      <c r="M81" s="110" t="b">
        <f>IF($M$83=L81,TRUE,FALSE)</f>
        <v>0</v>
      </c>
      <c r="N81" s="310">
        <f>Grunddaten!H68</f>
        <v>100</v>
      </c>
      <c r="O81" s="1036" t="b">
        <f>IF(OR(L16=TRUE,L17=TRUE),TRUE,FALSE)</f>
        <v>1</v>
      </c>
      <c r="Q81" s="734" t="s">
        <v>640</v>
      </c>
      <c r="R81" s="735" t="b">
        <v>0</v>
      </c>
      <c r="S81" s="808">
        <v>6</v>
      </c>
    </row>
    <row r="82" spans="2:19" ht="15.95" customHeight="1" x14ac:dyDescent="0.2">
      <c r="B82" s="1361" t="s">
        <v>24</v>
      </c>
      <c r="C82" s="1362"/>
      <c r="D82" s="350" t="s">
        <v>80</v>
      </c>
      <c r="E82" s="1496"/>
      <c r="G82" s="370" t="s">
        <v>248</v>
      </c>
      <c r="H82" s="378">
        <f>IF($H$77=FALSE,0,IF(AND($L$16=FALSE,$L$17=FALSE),0,IF($M$81=FALSE,H80/(1-MAX(0,Grunddaten!$H$63,D84,Berechnung!$T$44)%),IF(OR(Berechnung!$J$34="",Berechnung!$J$34=0),0,$H$81/Berechnung!$J$34))))</f>
        <v>0</v>
      </c>
      <c r="J82" s="953"/>
      <c r="K82" s="932"/>
      <c r="L82" s="901"/>
      <c r="M82" s="901"/>
      <c r="N82" s="901"/>
      <c r="O82" s="1036" t="b">
        <v>0</v>
      </c>
      <c r="Q82" s="734" t="s">
        <v>641</v>
      </c>
      <c r="R82" s="735" t="b">
        <v>0</v>
      </c>
      <c r="S82" s="808">
        <v>7</v>
      </c>
    </row>
    <row r="83" spans="2:19" ht="15.95" customHeight="1" x14ac:dyDescent="0.2">
      <c r="B83" s="1370" t="s">
        <v>58</v>
      </c>
      <c r="C83" s="1371"/>
      <c r="D83" s="1371"/>
      <c r="E83" s="1366"/>
      <c r="G83" s="370" t="s">
        <v>390</v>
      </c>
      <c r="H83" s="378">
        <f>IF($H$77=FALSE,0,IF(OR(H87="",H87=0),0,(H81*MAX(0,Grunddaten!$H$63%,D84%)/H87)))</f>
        <v>0</v>
      </c>
      <c r="J83" s="270" t="s">
        <v>314</v>
      </c>
      <c r="K83" s="271"/>
      <c r="L83" s="239">
        <v>1</v>
      </c>
      <c r="M83" s="239">
        <v>3</v>
      </c>
      <c r="N83" s="311">
        <f>IF(OR(M83=0,M83=""),MAX(Grunddaten!$R$65:$R$70),INDEX(N75:N82,M83,1))</f>
        <v>100</v>
      </c>
      <c r="O83" s="1037" t="s">
        <v>80</v>
      </c>
      <c r="Q83" s="734"/>
      <c r="R83" s="735"/>
      <c r="S83" s="808"/>
    </row>
    <row r="84" spans="2:19" ht="15.95" customHeight="1" x14ac:dyDescent="0.2">
      <c r="B84" s="1490" t="s">
        <v>66</v>
      </c>
      <c r="C84" s="1491"/>
      <c r="D84" s="1486">
        <f>IF(OR(M75=TRUE,M76=TRUE,M77=TRUE,M78=TRUE),Grunddaten!H61,IF(OR(M79=TRUE,M80=TRUE),Grunddaten!H62,IF(M81=TRUE,Grunddaten!H63,0)))</f>
        <v>20</v>
      </c>
      <c r="E84" s="1020">
        <f>IF(OR($G$10=0,$G$11=0),0,$G$11/$G$10*100)</f>
        <v>0</v>
      </c>
      <c r="G84" s="370" t="s">
        <v>391</v>
      </c>
      <c r="H84" s="380">
        <f>IF($H$77=FALSE,0,H83*H87)</f>
        <v>0</v>
      </c>
      <c r="I84" s="375"/>
      <c r="Q84" s="734"/>
      <c r="R84" s="735"/>
      <c r="S84" s="808"/>
    </row>
    <row r="85" spans="2:19" ht="15.95" customHeight="1" x14ac:dyDescent="0.2">
      <c r="B85" s="1492"/>
      <c r="C85" s="1493"/>
      <c r="D85" s="1486"/>
      <c r="E85" s="1020">
        <f>MAX(0,E84-D84)</f>
        <v>0</v>
      </c>
      <c r="G85" s="370" t="s">
        <v>244</v>
      </c>
      <c r="H85" s="378">
        <f>IF($H$77=FALSE,0,MIN(H80,MIN((H80/(1-D84%)),MAX(0,H82-H83))))</f>
        <v>0</v>
      </c>
      <c r="Q85" s="737" t="s">
        <v>700</v>
      </c>
      <c r="R85" s="821">
        <f>R91</f>
        <v>0</v>
      </c>
      <c r="S85" s="811" t="s">
        <v>80</v>
      </c>
    </row>
    <row r="86" spans="2:19" ht="15.95" customHeight="1" x14ac:dyDescent="0.2">
      <c r="B86" s="1370" t="s">
        <v>62</v>
      </c>
      <c r="C86" s="1371"/>
      <c r="D86" s="1371"/>
      <c r="E86" s="1366"/>
      <c r="G86" s="370" t="s">
        <v>245</v>
      </c>
      <c r="H86" s="378">
        <f>IF($H$77=FALSE,0,MAX(0,MAX(0,H82-H83)-H85))</f>
        <v>0</v>
      </c>
      <c r="J86" s="1374" t="s">
        <v>216</v>
      </c>
      <c r="K86" s="1375"/>
      <c r="L86" s="361" t="b">
        <v>0</v>
      </c>
      <c r="M86" s="362" t="s">
        <v>80</v>
      </c>
      <c r="Q86" s="737" t="s">
        <v>631</v>
      </c>
      <c r="R86" s="738" t="b">
        <v>1</v>
      </c>
      <c r="S86" s="811" t="s">
        <v>80</v>
      </c>
    </row>
    <row r="87" spans="2:19" ht="15.95" customHeight="1" x14ac:dyDescent="0.2">
      <c r="B87" s="1476" t="s">
        <v>813</v>
      </c>
      <c r="C87" s="1017">
        <f>IF($L$17=TRUE,MAX(Grunddaten!$H$69,Berechnung!$O$21),Grunddaten!$H$69)</f>
        <v>45</v>
      </c>
      <c r="D87" s="1475">
        <f>N83</f>
        <v>100</v>
      </c>
      <c r="E87" s="418" t="b">
        <f>IF(E91&gt;=D91,TRUE,FALSE)</f>
        <v>1</v>
      </c>
      <c r="G87" s="370" t="s">
        <v>249</v>
      </c>
      <c r="H87" s="385">
        <f>IF($H$77=FALSE,0,Berechnung!J34)</f>
        <v>0</v>
      </c>
      <c r="J87" s="1376"/>
      <c r="K87" s="1377"/>
      <c r="L87" s="87" t="b">
        <f>IF(OR(L55=FALSE,Berechnung!V44="",Berechnung!I44=""),FALSE,IF(OR(Berechnung!I44="",AND(Daten!D84&gt;0,Berechnung!I44=0)),FALSE,IF(ROUND(SUM(Berechnung!V40:X43)*100/Berechnung!I44,2)&gt;=D84,TRUE,FALSE)))</f>
        <v>0</v>
      </c>
      <c r="M87" s="87" t="b">
        <f>M55</f>
        <v>0</v>
      </c>
      <c r="Q87" s="737" t="s">
        <v>632</v>
      </c>
      <c r="R87" s="738" t="b">
        <v>1</v>
      </c>
      <c r="S87" s="811" t="s">
        <v>80</v>
      </c>
    </row>
    <row r="88" spans="2:19" ht="15.95" customHeight="1" x14ac:dyDescent="0.2">
      <c r="B88" s="1477"/>
      <c r="C88" s="1017">
        <f>IF($L$17=TRUE,Berechnung!$S$21,Grunddaten!$H$70)</f>
        <v>30</v>
      </c>
      <c r="D88" s="1475"/>
      <c r="E88" s="418" t="b">
        <f>IF((E91-D91+E92)&gt;=D92,TRUE,FALSE)</f>
        <v>1</v>
      </c>
      <c r="G88" s="370" t="s">
        <v>250</v>
      </c>
      <c r="H88" s="385">
        <f>IF($H$77=FALSE,0,Berechnung!J35)</f>
        <v>0</v>
      </c>
      <c r="J88" s="1378"/>
      <c r="K88" s="1379"/>
      <c r="L88" s="89">
        <f>D84</f>
        <v>20</v>
      </c>
      <c r="M88" s="89">
        <f>IF(OR(Berechnung!I44="",Berechnung!I44=0),0,ROUND(SUM(Berechnung!V40:X43)*100/Berechnung!I44,2))</f>
        <v>0</v>
      </c>
      <c r="Q88" s="737" t="s">
        <v>633</v>
      </c>
      <c r="R88" s="738" t="b">
        <v>0</v>
      </c>
      <c r="S88" s="811" t="s">
        <v>80</v>
      </c>
    </row>
    <row r="89" spans="2:19" ht="15.95" customHeight="1" x14ac:dyDescent="0.2">
      <c r="B89" s="1478"/>
      <c r="C89" s="1017">
        <f>IF($L$17=TRUE,100-C87-C88,0)</f>
        <v>25</v>
      </c>
      <c r="D89" s="1475"/>
      <c r="E89" s="934" t="b">
        <f>IF(((E91-D91)+(E92-D92)+E93)&gt;=D93,TRUE,FALSE)</f>
        <v>1</v>
      </c>
      <c r="G89" s="370" t="s">
        <v>398</v>
      </c>
      <c r="H89" s="396">
        <f>IF($H$77=FALSE,0,MIN($G$8,O110*H87))</f>
        <v>0</v>
      </c>
      <c r="J89" s="1380" t="str">
        <f>IF(AND(L86=TRUE,L87&lt;&gt;M87),CHAR(10)&amp;"- Gesamtanteil der Eigenleistungen","")</f>
        <v/>
      </c>
      <c r="K89" s="1381"/>
      <c r="L89" s="1381"/>
      <c r="M89" s="1382"/>
      <c r="Q89" s="1520" t="str">
        <f>IF(Berechnung!K22="","-",Berechnung!K22)</f>
        <v>-</v>
      </c>
      <c r="R89" s="1520"/>
      <c r="S89" s="811" t="s">
        <v>80</v>
      </c>
    </row>
    <row r="90" spans="2:19" ht="15.95" customHeight="1" x14ac:dyDescent="0.2">
      <c r="B90" s="84" t="s">
        <v>96</v>
      </c>
      <c r="C90" s="122">
        <f>IF(OR($M$27=FALSE,$M$28=FALSE,$M$29=FALSE),0,ROUNDUP(Berechnung!$K$18*D87/100,0))</f>
        <v>0</v>
      </c>
      <c r="D90" s="479">
        <f>IF(OR($M$27=FALSE,$M$28=FALSE,$M$29=FALSE),0,IF(C90=Berechnung!$K$18,Berechnung!$K$19,ROUND(Berechnung!$K$19*D87/100,2)))</f>
        <v>0</v>
      </c>
      <c r="E90" s="677">
        <f>E91+E92</f>
        <v>0</v>
      </c>
      <c r="G90" s="370" t="s">
        <v>399</v>
      </c>
      <c r="H90" s="396">
        <f>IF(OR($H$77=FALSE,H87=0),0,H89/H87)</f>
        <v>0</v>
      </c>
      <c r="J90" s="1383"/>
      <c r="K90" s="1384"/>
      <c r="L90" s="1384"/>
      <c r="M90" s="1385"/>
      <c r="Q90" s="737" t="s">
        <v>634</v>
      </c>
      <c r="R90" s="828" t="b">
        <f>IF($M$3=FALSE,IF($Q$89=$R$94,TRUE,FALSE),IF(OR(AND($R$92=TRUE,$S$104=0),$R$86=FALSE,$Q$89="",$Q$89="-",Grunddaten!$H$55=0,ISERROR(MATCH($Q$89,$Q$75:$Q$82,0))),FALSE,INDEX($R$75:$R$82,MATCH($Q$89,$Q$75:$Q$82,0),1)))</f>
        <v>0</v>
      </c>
      <c r="S90" s="811" t="s">
        <v>80</v>
      </c>
    </row>
    <row r="91" spans="2:19" ht="15.95" customHeight="1" x14ac:dyDescent="0.2">
      <c r="B91" s="292" t="s">
        <v>55</v>
      </c>
      <c r="C91" s="122">
        <f>IF(Berechnung!$AF$130=FALSE,0,IF(OR($M$27=FALSE,$M$28=FALSE,$M$29=FALSE),0,IF(C90=3,2,ROUNDUP(C90*C87/100,0))))</f>
        <v>0</v>
      </c>
      <c r="D91" s="479">
        <f>IF(OR($M$27=FALSE,$M$28=FALSE,$M$29=FALSE),0,IF(C87=100,D90,IF(C90=3,ROUND(D90*2/3,2),IF(C90=1,D90,ROUND(D90*Grunddaten!H69/100,2)))))</f>
        <v>0</v>
      </c>
      <c r="E91" s="677">
        <f>Berechnung!L27</f>
        <v>0</v>
      </c>
      <c r="G91" s="1482" t="s">
        <v>386</v>
      </c>
      <c r="H91" s="1483"/>
      <c r="J91" s="676" t="s">
        <v>214</v>
      </c>
      <c r="K91" s="90"/>
      <c r="L91" s="361" t="b">
        <v>0</v>
      </c>
      <c r="M91" s="362" t="s">
        <v>80</v>
      </c>
      <c r="Q91" s="737" t="s">
        <v>699</v>
      </c>
      <c r="R91" s="809">
        <f>IF(OR(R90=FALSE,Grunddaten!H55=0),0,Grunddaten!H55)</f>
        <v>0</v>
      </c>
      <c r="S91" s="811" t="s">
        <v>80</v>
      </c>
    </row>
    <row r="92" spans="2:19" ht="15.95" customHeight="1" x14ac:dyDescent="0.2">
      <c r="B92" s="292" t="s">
        <v>56</v>
      </c>
      <c r="C92" s="122">
        <f>IF(Berechnung!$AF$130=FALSE,0,IF(OR($M$27=FALSE,$M$28=FALSE,$M$29=FALSE),0,IF($L$17=TRUE,IF($C$89=0,$C$90-$C$91,ROUNDUP(C90*C88/100,0)),C90-C91)))</f>
        <v>0</v>
      </c>
      <c r="D92" s="479">
        <f>IF(OR($M$27=FALSE,$M$28=FALSE,$M$29=FALSE),0,IF($L$17=TRUE,IF(C88=0,0,IF(C89=0,D90-D91,D90*C88/100)),D90-D91))</f>
        <v>0</v>
      </c>
      <c r="E92" s="677">
        <f>Berechnung!L28</f>
        <v>0</v>
      </c>
      <c r="G92" s="1484" t="s">
        <v>384</v>
      </c>
      <c r="H92" s="1485"/>
      <c r="J92" s="265" t="s">
        <v>98</v>
      </c>
      <c r="K92" s="91"/>
      <c r="L92" s="87" t="b">
        <f>IF(L28&lt;&gt;M28,TRUE,IF(AND(Berechnung!J27&gt;0,ISNUMBER(Berechnung!J27),Berechnung!J27&gt;=C91,Berechnung!L27&gt;0,ISNUMBER(Berechnung!L27),Berechnung!L27&gt;=D91),TRUE,FALSE))</f>
        <v>1</v>
      </c>
      <c r="M92" s="87" t="b">
        <f>M36</f>
        <v>1</v>
      </c>
      <c r="Q92" s="737" t="s">
        <v>680</v>
      </c>
      <c r="R92" s="736" t="b">
        <f>IF(AND(OR(M83=3,M83=4),Q89&lt;&gt;Q75),TRUE,FALSE)</f>
        <v>1</v>
      </c>
      <c r="S92" s="811" t="s">
        <v>80</v>
      </c>
    </row>
    <row r="93" spans="2:19" ht="15.95" customHeight="1" x14ac:dyDescent="0.2">
      <c r="B93" s="292" t="str">
        <f>IF(L17=TRUE,"davon Mindestanzahl 3","zusätzlich Anzahl freie WE")</f>
        <v>davon Mindestanzahl 3</v>
      </c>
      <c r="C93" s="933">
        <f>IF(Berechnung!$AF$130=FALSE,0,IF(OR($M$27=FALSE,$M$28=FALSE,$M$29=FALSE),0,MAX(0,IF($L$17=TRUE,C90-C91-C92,Berechnung!$K$18-C90))))</f>
        <v>0</v>
      </c>
      <c r="D93" s="935">
        <f>IF(OR($M$27=FALSE,$M$28=FALSE,$M$29=FALSE),0,IF($L$17=TRUE,D90-D91-D92,Berechnung!$K$19-D90))</f>
        <v>0</v>
      </c>
      <c r="E93" s="677">
        <f>Berechnung!L29</f>
        <v>0</v>
      </c>
      <c r="G93" s="371" t="s">
        <v>376</v>
      </c>
      <c r="H93" s="381">
        <f>IF($H$77=FALSE,0,MIN(H85,Grunddaten!H52))</f>
        <v>0</v>
      </c>
      <c r="J93" s="265" t="s">
        <v>97</v>
      </c>
      <c r="K93" s="91"/>
      <c r="L93" s="87" t="b">
        <f>IF(Berechnung!J27="",TRUE,IF(AND(Berechnung!J28="",Berechnung!J27&gt;=C90),TRUE,IF(AND(Berechnung!J28&gt;=0,ISNUMBER(Berechnung!J28),OR(Berechnung!J28&gt;=C92,SUM(Berechnung!J27:J28)&gt;=C90),Berechnung!L28&gt;=0,ISNUMBER(Berechnung!L28),OR(Berechnung!L28&gt;=D92,SUM(Berechnung!L27:L28)&gt;=D90)),TRUE,FALSE)))</f>
        <v>1</v>
      </c>
      <c r="M93" s="87" t="b">
        <f>M37</f>
        <v>1</v>
      </c>
      <c r="Q93" s="737" t="s">
        <v>686</v>
      </c>
      <c r="R93" s="1502" t="str">
        <f>IF(M3=TRUE,"'Daten'!"&amp;ADDRESS(ROW(Q75),COLUMN(Q75))&amp;":"&amp;ADDRESS(ROW(Q82),COLUMN(Q82)),"'Daten'!"&amp;ADDRESS(ROW(R94),COLUMN(R94))&amp;":"&amp;ADDRESS(ROW(R95),COLUMN(R95)))</f>
        <v>'Daten'!$R$94:$R$95</v>
      </c>
      <c r="S93" s="1503"/>
    </row>
    <row r="94" spans="2:19" ht="15.95" customHeight="1" x14ac:dyDescent="0.2">
      <c r="B94" s="936" t="s">
        <v>63</v>
      </c>
      <c r="C94" s="937"/>
      <c r="D94" s="937"/>
      <c r="E94" s="938"/>
      <c r="G94" s="371" t="s">
        <v>377</v>
      </c>
      <c r="H94" s="386">
        <f>H88</f>
        <v>0</v>
      </c>
      <c r="J94" s="265" t="s">
        <v>757</v>
      </c>
      <c r="K94" s="91"/>
      <c r="L94" s="87"/>
      <c r="M94" s="87"/>
      <c r="Q94" s="1500" t="s">
        <v>679</v>
      </c>
      <c r="R94" s="812" t="s">
        <v>677</v>
      </c>
      <c r="S94" s="811" t="s">
        <v>80</v>
      </c>
    </row>
    <row r="95" spans="2:19" ht="15.95" customHeight="1" x14ac:dyDescent="0.2">
      <c r="B95" s="1388" t="s">
        <v>64</v>
      </c>
      <c r="C95" s="1389"/>
      <c r="D95" s="1386">
        <f>IF(LEFT(Berechnung!$K$17,1)="J",Grunddaten!H74,Grunddaten!H77)</f>
        <v>6</v>
      </c>
      <c r="E95" s="322" t="s">
        <v>80</v>
      </c>
      <c r="G95" s="371" t="s">
        <v>374</v>
      </c>
      <c r="H95" s="381">
        <f>H93*H94</f>
        <v>0</v>
      </c>
      <c r="J95" s="1497" t="str">
        <f>IF(AND(L91=TRUE,OR(L92&lt;&gt;M92,L93&lt;&gt;M93)),CHAR(10)&amp;"- Quoten für die Belegungsbindung der Wohneinheiten","")</f>
        <v/>
      </c>
      <c r="K95" s="1497"/>
      <c r="L95" s="1497"/>
      <c r="M95" s="1497"/>
      <c r="Q95" s="1501"/>
      <c r="R95" s="812" t="s">
        <v>676</v>
      </c>
      <c r="S95" s="811" t="s">
        <v>80</v>
      </c>
    </row>
    <row r="96" spans="2:19" ht="15.95" customHeight="1" x14ac:dyDescent="0.2">
      <c r="B96" s="1359"/>
      <c r="C96" s="1360"/>
      <c r="D96" s="1387"/>
      <c r="E96" s="322" t="s">
        <v>80</v>
      </c>
      <c r="G96" s="1484" t="s">
        <v>385</v>
      </c>
      <c r="H96" s="1485"/>
      <c r="J96" s="676" t="s">
        <v>215</v>
      </c>
      <c r="K96" s="90"/>
      <c r="L96" s="361" t="b">
        <v>0</v>
      </c>
      <c r="M96" s="362" t="s">
        <v>80</v>
      </c>
      <c r="Q96" s="813" t="s">
        <v>687</v>
      </c>
      <c r="R96" s="814"/>
      <c r="S96" s="808">
        <f>S80</f>
        <v>5</v>
      </c>
    </row>
    <row r="97" spans="2:19" ht="15.95" customHeight="1" x14ac:dyDescent="0.2">
      <c r="B97" s="1388" t="s">
        <v>65</v>
      </c>
      <c r="C97" s="1389"/>
      <c r="D97" s="1386">
        <f>IF(LEFT(Berechnung!$K$17,1)="J",Grunddaten!H75,Grunddaten!H78)</f>
        <v>8</v>
      </c>
      <c r="E97" s="322" t="s">
        <v>80</v>
      </c>
      <c r="G97" s="371" t="s">
        <v>376</v>
      </c>
      <c r="H97" s="381">
        <f>IF($H$77=FALSE,0,MIN(H85,Grunddaten!H50))</f>
        <v>0</v>
      </c>
      <c r="J97" s="265" t="s">
        <v>88</v>
      </c>
      <c r="K97" s="91"/>
      <c r="L97" s="87" t="b">
        <f>IF(L42=FALSE,FALSE,IF(AND(Berechnung!V27&gt;=0,ISNUMBER(Berechnung!V27),Berechnung!V27&lt;=D95),TRUE,FALSE))</f>
        <v>0</v>
      </c>
      <c r="M97" s="87" t="b">
        <f>M42</f>
        <v>0</v>
      </c>
      <c r="Q97" s="813" t="s">
        <v>688</v>
      </c>
      <c r="R97" s="814"/>
      <c r="S97" s="808">
        <f>S80</f>
        <v>5</v>
      </c>
    </row>
    <row r="98" spans="2:19" ht="15.95" customHeight="1" x14ac:dyDescent="0.2">
      <c r="B98" s="1359"/>
      <c r="C98" s="1360"/>
      <c r="D98" s="1387"/>
      <c r="E98" s="322" t="s">
        <v>80</v>
      </c>
      <c r="G98" s="371" t="s">
        <v>377</v>
      </c>
      <c r="H98" s="386">
        <f>MAX(0,H87-H88)</f>
        <v>0</v>
      </c>
      <c r="J98" s="265" t="s">
        <v>89</v>
      </c>
      <c r="K98" s="91"/>
      <c r="L98" s="87" t="b">
        <f>IF(L43=FALSE,FALSE,IF(AND(Berechnung!V28&gt;=0,ISNUMBER(Berechnung!V28),Berechnung!V28&lt;=D97),TRUE,FALSE))</f>
        <v>0</v>
      </c>
      <c r="M98" s="87" t="b">
        <f>M43</f>
        <v>0</v>
      </c>
      <c r="Q98" s="813" t="s">
        <v>685</v>
      </c>
      <c r="R98" s="814"/>
      <c r="S98" s="808">
        <f>S80</f>
        <v>5</v>
      </c>
    </row>
    <row r="99" spans="2:19" ht="15.95" customHeight="1" x14ac:dyDescent="0.2">
      <c r="B99" s="1388" t="s">
        <v>764</v>
      </c>
      <c r="C99" s="1389"/>
      <c r="D99" s="1386">
        <f>IF(LEFT(Berechnung!$K$17,1)="J",Grunddaten!H76,Grunddaten!H79)</f>
        <v>10</v>
      </c>
      <c r="E99" s="322" t="s">
        <v>80</v>
      </c>
      <c r="G99" s="371" t="s">
        <v>375</v>
      </c>
      <c r="H99" s="381">
        <f>H97*H98</f>
        <v>0</v>
      </c>
      <c r="J99" s="265" t="s">
        <v>758</v>
      </c>
      <c r="K99" s="91"/>
      <c r="L99" s="87" t="b">
        <f>IF($L$17=FALSE,TRUE,IF(L44=FALSE,FALSE,IF(AND(Berechnung!V29&gt;=0,ISNUMBER(Berechnung!V29),Berechnung!V29&lt;=D99),TRUE,FALSE)))</f>
        <v>0</v>
      </c>
      <c r="M99" s="87" t="b">
        <f>M44</f>
        <v>0</v>
      </c>
      <c r="Q99" s="813" t="s">
        <v>690</v>
      </c>
      <c r="R99" s="814"/>
      <c r="S99" s="808">
        <f>S78</f>
        <v>3</v>
      </c>
    </row>
    <row r="100" spans="2:19" ht="15.95" customHeight="1" x14ac:dyDescent="0.2">
      <c r="B100" s="1359"/>
      <c r="C100" s="1360"/>
      <c r="D100" s="1387"/>
      <c r="E100" s="322" t="s">
        <v>80</v>
      </c>
      <c r="G100" s="1484" t="s">
        <v>392</v>
      </c>
      <c r="H100" s="1485"/>
      <c r="J100" s="1497" t="str">
        <f>IF(AND(L96=TRUE,OR(L97&lt;&gt;M97,L98&lt;&gt;M98)),CHAR(10)&amp;"- Miethöhen für die belegungsgebundenen Wohneinheiten","")</f>
        <v/>
      </c>
      <c r="K100" s="1497"/>
      <c r="L100" s="1497"/>
      <c r="M100" s="1497"/>
      <c r="Q100" s="813" t="s">
        <v>689</v>
      </c>
      <c r="R100" s="814"/>
      <c r="S100" s="808">
        <f>S80</f>
        <v>5</v>
      </c>
    </row>
    <row r="101" spans="2:19" ht="15.95" customHeight="1" x14ac:dyDescent="0.2">
      <c r="B101" s="936" t="s">
        <v>75</v>
      </c>
      <c r="C101" s="937"/>
      <c r="D101" s="937"/>
      <c r="E101" s="938"/>
      <c r="G101" s="371" t="s">
        <v>378</v>
      </c>
      <c r="H101" s="384">
        <f>H95+H99</f>
        <v>0</v>
      </c>
      <c r="J101" s="1504" t="str">
        <f>IF(OR(J89&lt;&gt;"",J95&lt;&gt;"",J100&lt;&gt;""),"Für diese Berechnung wurden folgende Abweichungen von der Richtlinie festgestellt:"&amp;J89&amp;IF(AND(J89&lt;&gt;"",OR(J95&lt;&gt;"",J100&lt;&gt;"")),",","")&amp;J95&amp;IF(AND(J95&lt;&gt;"",J100&lt;&gt;""),",","")&amp;J100&amp;".","")</f>
        <v/>
      </c>
      <c r="K101" s="1505"/>
      <c r="L101" s="1505"/>
      <c r="M101" s="1506"/>
      <c r="Q101" s="813" t="s">
        <v>691</v>
      </c>
      <c r="R101" s="814"/>
      <c r="S101" s="808">
        <f>S80</f>
        <v>5</v>
      </c>
    </row>
    <row r="102" spans="2:19" ht="15.95" customHeight="1" x14ac:dyDescent="0.2">
      <c r="B102" s="701" t="s">
        <v>591</v>
      </c>
      <c r="C102" s="697"/>
      <c r="D102" s="702">
        <f>Berechnung!V44</f>
        <v>0</v>
      </c>
      <c r="E102" s="322" t="s">
        <v>80</v>
      </c>
      <c r="G102" s="371" t="s">
        <v>381</v>
      </c>
      <c r="H102" s="384">
        <f>IF(H87=0,0,H101/H87)</f>
        <v>0</v>
      </c>
      <c r="J102" s="1507"/>
      <c r="K102" s="1508"/>
      <c r="L102" s="1508"/>
      <c r="M102" s="1509"/>
      <c r="Q102" s="816"/>
      <c r="R102" s="817"/>
      <c r="S102" s="808"/>
    </row>
    <row r="103" spans="2:19" ht="15.95" customHeight="1" x14ac:dyDescent="0.2">
      <c r="B103" s="687" t="s">
        <v>590</v>
      </c>
      <c r="C103" s="526"/>
      <c r="D103" s="892">
        <f>IF(OR(Berechnung!V44="",Berechnung!V44=0,Berechnung!I44="",Berechnung!I44=0),0,MAX(0,MIN(G12,IF(Berechnung!V44&gt;Berechnung!I44*15/100,Berechnung!I44*15/100,Berechnung!V44))))</f>
        <v>0</v>
      </c>
      <c r="E103" s="1018">
        <f>Grunddaten!H81</f>
        <v>2</v>
      </c>
      <c r="G103" s="1482" t="s">
        <v>387</v>
      </c>
      <c r="H103" s="1483"/>
      <c r="J103" s="1507"/>
      <c r="K103" s="1508"/>
      <c r="L103" s="1508"/>
      <c r="M103" s="1509"/>
      <c r="Q103" s="816"/>
      <c r="R103" s="817"/>
      <c r="S103" s="808"/>
    </row>
    <row r="104" spans="2:19" ht="15.95" customHeight="1" x14ac:dyDescent="0.2">
      <c r="B104" s="687" t="s">
        <v>589</v>
      </c>
      <c r="C104" s="526"/>
      <c r="D104" s="892">
        <f>IF(OR(Berechnung!V44="",Berechnung!V44=0,Berechnung!I44="",Berechnung!I44=0),0,MAX(0,MIN(G12-D103,IF(Berechnung!V44&gt;D103,Berechnung!V44-D103,0))))</f>
        <v>0</v>
      </c>
      <c r="E104" s="1018">
        <f>Grunddaten!H82</f>
        <v>3</v>
      </c>
      <c r="G104" s="1484" t="s">
        <v>384</v>
      </c>
      <c r="H104" s="1485"/>
      <c r="J104" s="1510"/>
      <c r="K104" s="1511"/>
      <c r="L104" s="1511"/>
      <c r="M104" s="1512"/>
      <c r="Q104" s="1498" t="str">
        <f>IF(Berechnung!Q22="","-",Berechnung!Q22)</f>
        <v>-</v>
      </c>
      <c r="R104" s="1499"/>
      <c r="S104" s="815">
        <f>IF(OR(Q104="",Q104="-"),0,IF(ISERROR(INDEX(S96:S101,MATCH(Q104,Q96:Q101,0),1)),0,INDEX(S96:S101,MATCH(Q104,Q96:Q101,0),1)))</f>
        <v>0</v>
      </c>
    </row>
    <row r="105" spans="2:19" ht="15.95" customHeight="1" x14ac:dyDescent="0.2">
      <c r="B105" s="325" t="s">
        <v>464</v>
      </c>
      <c r="C105" s="324"/>
      <c r="D105" s="527">
        <f>Berechnung!V76+Berechnung!V77</f>
        <v>0</v>
      </c>
      <c r="E105" s="1018">
        <f>IF((D103+D104)=0,0,D105/D102*100)</f>
        <v>0</v>
      </c>
      <c r="G105" s="371" t="s">
        <v>376</v>
      </c>
      <c r="H105" s="381">
        <f>IF($H$77=FALSE,0,MIN(H85-H93,Grunddaten!H53))</f>
        <v>0</v>
      </c>
    </row>
    <row r="106" spans="2:19" ht="15.95" customHeight="1" x14ac:dyDescent="0.2">
      <c r="B106" s="696" t="s">
        <v>588</v>
      </c>
      <c r="C106" s="697"/>
      <c r="D106" s="698">
        <f>MAX(0,D102-D103-D104)</f>
        <v>0</v>
      </c>
      <c r="E106" s="322" t="s">
        <v>80</v>
      </c>
      <c r="G106" s="371" t="s">
        <v>377</v>
      </c>
      <c r="H106" s="386">
        <f>H94</f>
        <v>0</v>
      </c>
    </row>
    <row r="107" spans="2:19" ht="15.95" customHeight="1" x14ac:dyDescent="0.2">
      <c r="B107" s="896" t="s">
        <v>76</v>
      </c>
      <c r="C107" s="699"/>
      <c r="D107" s="699"/>
      <c r="E107" s="700"/>
      <c r="G107" s="371" t="s">
        <v>379</v>
      </c>
      <c r="H107" s="381">
        <f>H105*H106</f>
        <v>0</v>
      </c>
      <c r="J107" s="641" t="s">
        <v>577</v>
      </c>
      <c r="K107" s="642"/>
      <c r="L107" s="642"/>
      <c r="M107" s="642"/>
      <c r="N107" s="643"/>
      <c r="O107" s="643"/>
      <c r="P107" s="643"/>
      <c r="Q107" s="644"/>
    </row>
    <row r="108" spans="2:19" ht="15.95" customHeight="1" x14ac:dyDescent="0.2">
      <c r="B108" s="687" t="s">
        <v>77</v>
      </c>
      <c r="C108" s="526"/>
      <c r="D108" s="892">
        <f>IF(OR(M12=FALSE,M75=TRUE,M77=TRUE,M79=TRUE,M80=TRUE),0,ROUND(SUM(Berechnung!V67:X69)*Grunddaten!H84/100,2))</f>
        <v>0</v>
      </c>
      <c r="E108" s="322" t="s">
        <v>80</v>
      </c>
      <c r="G108" s="1484" t="s">
        <v>385</v>
      </c>
      <c r="H108" s="1485"/>
      <c r="J108" s="667" t="s">
        <v>571</v>
      </c>
      <c r="K108" s="384">
        <f>SUM(N112:N116)</f>
        <v>0</v>
      </c>
      <c r="L108" s="326" t="s">
        <v>351</v>
      </c>
      <c r="M108" s="322">
        <f>COUNTIF(Q138:Q141,TRUE)</f>
        <v>0</v>
      </c>
      <c r="N108" s="326" t="s">
        <v>405</v>
      </c>
      <c r="O108" s="412">
        <f>IF(Berechnung!$K$18="",0,Berechnung!$K$18)</f>
        <v>0</v>
      </c>
      <c r="P108" s="414" t="s">
        <v>403</v>
      </c>
      <c r="Q108" s="415" t="b">
        <f>IF(AND(OR($L$16=TRUE,$L$17=TRUE),$R$90=TRUE,($K$109-IF($R$90=TRUE,IF($R$85&lt;&gt;"",$R$85,$R$91),0))&gt;($D$72+IF($G$73&gt;0,$G$74,0)),M$79=FALSE,$M$80=FALSE,$M$81=FALSE),TRUE,FALSE)</f>
        <v>0</v>
      </c>
    </row>
    <row r="109" spans="2:19" ht="15.95" customHeight="1" x14ac:dyDescent="0.2">
      <c r="B109" s="896" t="s">
        <v>76</v>
      </c>
      <c r="C109" s="897"/>
      <c r="D109" s="897"/>
      <c r="E109" s="688"/>
      <c r="G109" s="371" t="s">
        <v>376</v>
      </c>
      <c r="H109" s="381">
        <f>IF($H$77=FALSE,0,MIN(H85-H97,Grunddaten!H51))</f>
        <v>0</v>
      </c>
      <c r="J109" s="667" t="s">
        <v>575</v>
      </c>
      <c r="K109" s="384">
        <f>IF(OR($G$8="",$G$8=0),0,$K$108/$G$8)</f>
        <v>0</v>
      </c>
      <c r="L109" s="326" t="s">
        <v>352</v>
      </c>
      <c r="M109" s="322">
        <f>COUNTIF(Q143:Q145,TRUE)</f>
        <v>1</v>
      </c>
      <c r="N109" s="326" t="s">
        <v>406</v>
      </c>
      <c r="O109" s="413">
        <f>IF(Berechnung!$K$19="",0,Berechnung!$K$19)</f>
        <v>0</v>
      </c>
      <c r="P109" s="414" t="s">
        <v>412</v>
      </c>
      <c r="Q109" s="403">
        <f>MAX(0,K109-(D72+IF(G73&gt;0,G74,0))-IF(R90=TRUE,IF(R85&lt;&gt;"",R85,R91),0))</f>
        <v>0</v>
      </c>
    </row>
    <row r="110" spans="2:19" ht="15.95" customHeight="1" x14ac:dyDescent="0.2">
      <c r="B110" s="687" t="s">
        <v>401</v>
      </c>
      <c r="C110" s="526"/>
      <c r="D110" s="398">
        <f>Berechnung!$K$18</f>
        <v>0</v>
      </c>
      <c r="E110" s="322" t="s">
        <v>80</v>
      </c>
      <c r="G110" s="371" t="s">
        <v>377</v>
      </c>
      <c r="H110" s="386">
        <f>H98</f>
        <v>0</v>
      </c>
      <c r="J110" s="683" t="s">
        <v>576</v>
      </c>
      <c r="K110" s="384">
        <f>IF(OR($D$110="",$D$110=0),0,$K$108/$D$110)</f>
        <v>0</v>
      </c>
      <c r="L110" s="326" t="s">
        <v>578</v>
      </c>
      <c r="M110" s="408">
        <f>M108+M109</f>
        <v>1</v>
      </c>
      <c r="N110" s="326" t="s">
        <v>407</v>
      </c>
      <c r="O110" s="413">
        <f>IF($O$108=0,0,$O$109/$O$108)</f>
        <v>0</v>
      </c>
      <c r="P110" s="414" t="s">
        <v>466</v>
      </c>
      <c r="Q110" s="681">
        <f>IF(OR(G10="",G10=0),0,SUM(M112:M117)/G10*100)</f>
        <v>0</v>
      </c>
    </row>
    <row r="111" spans="2:19" ht="15.95" customHeight="1" x14ac:dyDescent="0.2">
      <c r="G111" s="371" t="s">
        <v>379</v>
      </c>
      <c r="H111" s="381">
        <f>H109*H110</f>
        <v>0</v>
      </c>
      <c r="J111" s="641" t="s">
        <v>366</v>
      </c>
      <c r="K111" s="642"/>
      <c r="L111" s="642"/>
      <c r="M111" s="642"/>
      <c r="N111" s="643"/>
      <c r="O111" s="643"/>
      <c r="P111" s="643"/>
      <c r="Q111" s="644"/>
    </row>
    <row r="112" spans="2:19" ht="15.95" customHeight="1" x14ac:dyDescent="0.2">
      <c r="G112" s="1484" t="s">
        <v>392</v>
      </c>
      <c r="H112" s="1485"/>
      <c r="J112" s="1479" t="s">
        <v>27</v>
      </c>
      <c r="K112" s="662" t="str">
        <f>IF($Q112=0,"",INDEX($K$138:$K$141,$Q112,1))</f>
        <v/>
      </c>
      <c r="L112" s="324"/>
      <c r="M112" s="381" t="str">
        <f>IF($Q112=0,"",INDEX($M$138:$M$141,$Q112,1))</f>
        <v/>
      </c>
      <c r="N112" s="381" t="str">
        <f>IF($Q112=0,"",INDEX($N$138:$N$141,$Q112,1))</f>
        <v/>
      </c>
      <c r="O112" s="381" t="str">
        <f>IF($Q112=0,"",INDEX($O$138:$O$141,$Q112,1))</f>
        <v/>
      </c>
      <c r="P112" s="326" t="str">
        <f>IF($Q112=0,"",INDEX($P$138:$P$141,$Q112,1))</f>
        <v/>
      </c>
      <c r="Q112" s="668">
        <f t="array" ref="Q112">IF($M$108=0,0,MATCH(TRUE,EXACT(TRUE,$Q$138:$Q$141),0))</f>
        <v>0</v>
      </c>
    </row>
    <row r="113" spans="2:17" ht="15.95" customHeight="1" x14ac:dyDescent="0.2">
      <c r="B113" s="1344" t="s">
        <v>479</v>
      </c>
      <c r="C113" s="1342"/>
      <c r="D113" s="1342"/>
      <c r="E113" s="1343"/>
      <c r="G113" s="371" t="s">
        <v>380</v>
      </c>
      <c r="H113" s="384">
        <f>IF(OR($G$36=FALSE),0,$H$107+$H$111)</f>
        <v>0</v>
      </c>
      <c r="J113" s="1480"/>
      <c r="K113" s="662" t="str">
        <f>IF($Q113=0,"",INDEX($K$138:$K$141,$Q113,1))</f>
        <v/>
      </c>
      <c r="L113" s="324"/>
      <c r="M113" s="381" t="str">
        <f>IF($Q113=0,"",INDEX($M$138:$M$141,$Q113,1))</f>
        <v/>
      </c>
      <c r="N113" s="381" t="str">
        <f>IF($Q113=0,"",INDEX($N$138:$N$141,$Q113,1))</f>
        <v/>
      </c>
      <c r="O113" s="381" t="str">
        <f>IF($Q113=0,"",INDEX($O$138:$O$141,$Q113,1))</f>
        <v/>
      </c>
      <c r="P113" s="326" t="str">
        <f>IF($Q113=0,"",INDEX($P$138:$P$141,$Q113,1))</f>
        <v/>
      </c>
      <c r="Q113" s="668">
        <f t="array" ref="Q113">IF($M$108&lt;2,0,SMALL(IF(TRUE=$Q$138:$Q$141,ROW($Q$138:$Q$141)-ROW($Q$138)+1),2))</f>
        <v>0</v>
      </c>
    </row>
    <row r="114" spans="2:17" ht="15.95" customHeight="1" x14ac:dyDescent="0.2">
      <c r="B114" s="548" t="s">
        <v>481</v>
      </c>
      <c r="C114" s="547"/>
      <c r="D114" s="556"/>
      <c r="E114" s="322" t="s">
        <v>80</v>
      </c>
      <c r="G114" s="371" t="s">
        <v>382</v>
      </c>
      <c r="H114" s="384">
        <f>IF(H87=0,0,H113/H87)</f>
        <v>0</v>
      </c>
      <c r="J114" s="1481"/>
      <c r="K114" s="662" t="str">
        <f>IF($Q114=0,"",INDEX($K$138:$K$141,$Q114,1))</f>
        <v/>
      </c>
      <c r="L114" s="663"/>
      <c r="M114" s="381" t="str">
        <f>IF($Q114=0,"",INDEX($M$138:$M$141,$Q114,1))</f>
        <v/>
      </c>
      <c r="N114" s="381" t="str">
        <f>IF($Q114=0,"",INDEX($N$138:$N$141,$Q114,1))</f>
        <v/>
      </c>
      <c r="O114" s="381" t="str">
        <f>IF($Q114=0,"",INDEX($O$138:$O$141,$Q114,1))</f>
        <v/>
      </c>
      <c r="P114" s="326" t="str">
        <f>IF($Q114=0,"",INDEX($P$138:$P$141,$Q114,1))</f>
        <v/>
      </c>
      <c r="Q114" s="668">
        <f t="array" ref="Q114">IF($M$108&lt;3,0,SMALL(IF(TRUE=$Q$138:$Q$141,ROW($Q$138:$Q$141)-ROW($Q$138)+1),3))</f>
        <v>0</v>
      </c>
    </row>
    <row r="115" spans="2:17" ht="15.95" customHeight="1" x14ac:dyDescent="0.2">
      <c r="B115" s="548" t="s">
        <v>480</v>
      </c>
      <c r="C115" s="547"/>
      <c r="D115" s="556"/>
      <c r="E115" s="322" t="s">
        <v>80</v>
      </c>
      <c r="G115" s="1482" t="s">
        <v>388</v>
      </c>
      <c r="H115" s="1483"/>
      <c r="J115" s="1479" t="s">
        <v>15</v>
      </c>
      <c r="K115" s="671" t="str">
        <f>IF($Q115=0,"",INDEX($K$143:$K$145,$Q115,1))</f>
        <v>Förderdarlehen (Maßnahme; maximal bis zu 3.000,00 € / m²):</v>
      </c>
      <c r="L115" s="672"/>
      <c r="M115" s="680">
        <f>IF($Q115=0,"",INDEX($M$143:$M$145,$Q115,1))</f>
        <v>0</v>
      </c>
      <c r="N115" s="680">
        <f>IF($Q115=0,"",INDEX($N$143:$N$145,$Q115,1))</f>
        <v>0</v>
      </c>
      <c r="O115" s="680">
        <f>IF($Q115=0,"",INDEX($O$143:$O$145,$Q115,1))</f>
        <v>0</v>
      </c>
      <c r="P115" s="678" t="str">
        <f>IF($Q115=0,"",INDEX($P$143:$P$145,$Q115,1))</f>
        <v>pro m²</v>
      </c>
      <c r="Q115" s="679">
        <f t="array" ref="Q115">IF($M$109=0,0,MATCH(TRUE,EXACT(TRUE,$Q$143:$Q$145),0))</f>
        <v>1</v>
      </c>
    </row>
    <row r="116" spans="2:17" ht="15.95" customHeight="1" x14ac:dyDescent="0.2">
      <c r="B116" s="548" t="s">
        <v>482</v>
      </c>
      <c r="C116" s="547"/>
      <c r="D116" s="557"/>
      <c r="E116" s="322" t="s">
        <v>80</v>
      </c>
      <c r="G116" s="326" t="s">
        <v>378</v>
      </c>
      <c r="H116" s="381">
        <f>H101</f>
        <v>0</v>
      </c>
      <c r="J116" s="1480"/>
      <c r="K116" s="671" t="str">
        <f>IF($Q116=0,"",INDEX($K$143:$K$145,$Q116,1))</f>
        <v/>
      </c>
      <c r="L116" s="672"/>
      <c r="M116" s="680" t="str">
        <f>IF($Q116=0,"",INDEX($M$143:$M$145,$Q116,1))</f>
        <v/>
      </c>
      <c r="N116" s="680" t="str">
        <f>IF($Q116=0,"",INDEX($N$143:$N$145,$Q116,1))</f>
        <v/>
      </c>
      <c r="O116" s="680" t="str">
        <f>IF($Q116=0,"",INDEX($O$143:$O$145,$Q116,1))</f>
        <v/>
      </c>
      <c r="P116" s="678" t="str">
        <f>IF($Q116=0,"",INDEX($P$143:$P$145,$Q116,1))</f>
        <v/>
      </c>
      <c r="Q116" s="679">
        <f t="array" ref="Q116">IF($M$109&lt;2,0,SMALL(IF(TRUE=$Q$143:$Q$145,ROW($Q$143:$Q$145)-ROW($Q$143)+1),2))</f>
        <v>0</v>
      </c>
    </row>
    <row r="117" spans="2:17" ht="15.95" customHeight="1" x14ac:dyDescent="0.2">
      <c r="B117" s="548" t="s">
        <v>483</v>
      </c>
      <c r="C117" s="547"/>
      <c r="D117" s="558"/>
      <c r="E117" s="322" t="s">
        <v>80</v>
      </c>
      <c r="G117" s="326" t="s">
        <v>381</v>
      </c>
      <c r="H117" s="381">
        <f>IF($H$87=0,0,$H$116/$H$87)</f>
        <v>0</v>
      </c>
      <c r="J117" s="1481"/>
      <c r="K117" s="671" t="str">
        <f>IF($Q117=0,"",INDEX($K$143:$K$145,$Q117,1))</f>
        <v/>
      </c>
      <c r="L117" s="672"/>
      <c r="M117" s="680" t="str">
        <f>IF($Q117=0,"",INDEX($M$143:$M$145,$Q117,1))</f>
        <v/>
      </c>
      <c r="N117" s="680" t="str">
        <f>IF($Q117=0,"",INDEX($N$143:$N$145,$Q117,1))</f>
        <v/>
      </c>
      <c r="O117" s="680" t="str">
        <f>IF($Q117=0,"",INDEX($O$143:$O$145,$Q117,1))</f>
        <v/>
      </c>
      <c r="P117" s="678" t="str">
        <f>IF($Q117=0,"",INDEX($P$143:$P$145,$Q117,1))</f>
        <v/>
      </c>
      <c r="Q117" s="679">
        <f t="array" ref="Q117">IF($M$109&lt;3,0,SMALL(IF(TRUE=$Q$143:$Q$145,ROW($Q$143:$Q$145)-ROW($Q$143)+1),3))</f>
        <v>0</v>
      </c>
    </row>
    <row r="118" spans="2:17" ht="15.95" customHeight="1" x14ac:dyDescent="0.2">
      <c r="B118" s="548" t="s">
        <v>484</v>
      </c>
      <c r="C118" s="547"/>
      <c r="D118" s="556"/>
      <c r="E118" s="322" t="s">
        <v>80</v>
      </c>
      <c r="G118" s="326" t="s">
        <v>396</v>
      </c>
      <c r="H118" s="381">
        <f>IF($H$89=0,0,$H$116/$H$89)</f>
        <v>0</v>
      </c>
      <c r="J118" s="629" t="s">
        <v>367</v>
      </c>
      <c r="K118" s="639"/>
      <c r="L118" s="639"/>
      <c r="M118" s="640"/>
      <c r="N118" s="655" t="s">
        <v>365</v>
      </c>
      <c r="O118" s="655" t="s">
        <v>319</v>
      </c>
      <c r="P118" s="655" t="s">
        <v>178</v>
      </c>
      <c r="Q118" s="655" t="s">
        <v>548</v>
      </c>
    </row>
    <row r="119" spans="2:17" ht="15.95" customHeight="1" x14ac:dyDescent="0.2">
      <c r="B119" s="548" t="str">
        <f>IF(D121="","Grundeinstellungen Solver A","Erfüllung Nebenbedingung 4")</f>
        <v>Grundeinstellungen Solver A</v>
      </c>
      <c r="C119" s="547"/>
      <c r="D119" s="556"/>
      <c r="E119" s="322" t="s">
        <v>80</v>
      </c>
      <c r="G119" s="326" t="s">
        <v>380</v>
      </c>
      <c r="H119" s="381">
        <f>H113</f>
        <v>0</v>
      </c>
      <c r="J119" s="352" t="s">
        <v>368</v>
      </c>
      <c r="K119" s="355"/>
      <c r="L119" s="355"/>
      <c r="M119" s="356"/>
      <c r="N119" s="322">
        <f ca="1">CELL("zeile",Berechnung!P48)</f>
        <v>48</v>
      </c>
      <c r="O119" s="322">
        <f ca="1">CELL("spalte",Berechnung!P48)</f>
        <v>16</v>
      </c>
      <c r="P119" s="322">
        <v>3</v>
      </c>
      <c r="Q119" s="322" t="b">
        <f>IF(J119="",FALSE,IF(Berechnung!P48=J119,TRUE,FALSE))</f>
        <v>1</v>
      </c>
    </row>
    <row r="120" spans="2:17" ht="15.95" customHeight="1" x14ac:dyDescent="0.2">
      <c r="B120" s="548" t="str">
        <f>IF(D121="","Grundeinstellungen Solver B","Grundeinstellungen Solver A")</f>
        <v>Grundeinstellungen Solver B</v>
      </c>
      <c r="C120" s="547"/>
      <c r="D120" s="559"/>
      <c r="E120" s="322" t="s">
        <v>80</v>
      </c>
      <c r="G120" s="326" t="s">
        <v>382</v>
      </c>
      <c r="H120" s="381">
        <f>IF($H$87=0,0,$H$119/$H$87)</f>
        <v>0</v>
      </c>
      <c r="J120" s="352" t="s">
        <v>369</v>
      </c>
      <c r="K120" s="355"/>
      <c r="L120" s="355"/>
      <c r="M120" s="356"/>
      <c r="N120" s="322">
        <f ca="1">CELL("zeile",Berechnung!P49)</f>
        <v>49</v>
      </c>
      <c r="O120" s="322">
        <f ca="1">CELL("spalte",Berechnung!P49)</f>
        <v>16</v>
      </c>
      <c r="P120" s="322">
        <v>3</v>
      </c>
      <c r="Q120" s="322" t="b">
        <f>IF(J120="",FALSE,IF(Berechnung!P49=J120,TRUE,FALSE))</f>
        <v>1</v>
      </c>
    </row>
    <row r="121" spans="2:17" ht="15.95" customHeight="1" x14ac:dyDescent="0.2">
      <c r="B121" s="548" t="str">
        <f>IF(D121="","-","Grundeinstellungen Solver B")</f>
        <v>-</v>
      </c>
      <c r="C121" s="547"/>
      <c r="D121" s="559"/>
      <c r="E121" s="322" t="s">
        <v>80</v>
      </c>
      <c r="G121" s="326" t="s">
        <v>397</v>
      </c>
      <c r="H121" s="381">
        <f>IF($H$89=0,0,$H$119/$H$89)</f>
        <v>0</v>
      </c>
      <c r="J121" s="357" t="s">
        <v>370</v>
      </c>
      <c r="K121" s="358"/>
      <c r="L121" s="358"/>
      <c r="M121" s="324"/>
      <c r="N121" s="322">
        <f ca="1">CELL("zeile",Berechnung!D62)</f>
        <v>62</v>
      </c>
      <c r="O121" s="322">
        <f ca="1">CELL("spalte",Berechnung!D62)</f>
        <v>4</v>
      </c>
      <c r="P121" s="322">
        <v>4</v>
      </c>
      <c r="Q121" s="322" t="b">
        <f>IF(J121="",FALSE,IF(Berechnung!D62=J121,TRUE,FALSE))</f>
        <v>0</v>
      </c>
    </row>
    <row r="122" spans="2:17" ht="15.95" customHeight="1" x14ac:dyDescent="0.2">
      <c r="G122" s="365" t="s">
        <v>383</v>
      </c>
      <c r="H122" s="384">
        <f>H116+H119</f>
        <v>0</v>
      </c>
      <c r="J122" s="351"/>
      <c r="K122" s="353"/>
      <c r="L122" s="353"/>
      <c r="M122" s="354"/>
      <c r="N122" s="322"/>
      <c r="O122" s="322"/>
      <c r="P122" s="322"/>
      <c r="Q122" s="322" t="b">
        <f>IF(J122="",FALSE,IF(Berechnung!D63=J122,TRUE,FALSE))</f>
        <v>0</v>
      </c>
    </row>
    <row r="123" spans="2:17" ht="15.95" customHeight="1" x14ac:dyDescent="0.2">
      <c r="G123" s="365" t="s">
        <v>410</v>
      </c>
      <c r="H123" s="384">
        <f>$H$117+$H$120</f>
        <v>0</v>
      </c>
      <c r="J123" s="351"/>
      <c r="K123" s="353"/>
      <c r="L123" s="353"/>
      <c r="M123" s="354"/>
      <c r="N123" s="322"/>
      <c r="O123" s="322"/>
      <c r="P123" s="322"/>
      <c r="Q123" s="322" t="b">
        <f>IF(J123="",FALSE,IF(Berechnung!D64=J123,TRUE,FALSE))</f>
        <v>0</v>
      </c>
    </row>
    <row r="124" spans="2:17" ht="15.95" customHeight="1" x14ac:dyDescent="0.2">
      <c r="B124" s="1344" t="s">
        <v>762</v>
      </c>
      <c r="C124" s="1342"/>
      <c r="D124" s="1342"/>
      <c r="E124" s="1343"/>
      <c r="G124" s="365" t="s">
        <v>411</v>
      </c>
      <c r="H124" s="384">
        <f>$H$118+$H$121</f>
        <v>0</v>
      </c>
      <c r="J124" s="351"/>
      <c r="K124" s="353"/>
      <c r="L124" s="353"/>
      <c r="M124" s="354"/>
      <c r="N124" s="322"/>
      <c r="O124" s="322"/>
      <c r="P124" s="322"/>
      <c r="Q124" s="322" t="b">
        <f>IF(J124="",FALSE,IF(Berechnung!D65=J124,TRUE,FALSE))</f>
        <v>0</v>
      </c>
    </row>
    <row r="125" spans="2:17" ht="15.95" customHeight="1" x14ac:dyDescent="0.2">
      <c r="B125" s="548" t="s">
        <v>553</v>
      </c>
      <c r="C125" s="547"/>
      <c r="D125" s="638" t="b">
        <f>IF(AND(R90=TRUE,R86=TRUE,G10&gt;0),TRUE,FALSE)</f>
        <v>0</v>
      </c>
      <c r="E125" s="322" t="s">
        <v>80</v>
      </c>
      <c r="G125" s="365" t="s">
        <v>408</v>
      </c>
      <c r="H125" s="384">
        <f>IF(OR(O109="",O109=0),0,H122/O109)</f>
        <v>0</v>
      </c>
      <c r="J125" s="629" t="s">
        <v>371</v>
      </c>
      <c r="K125" s="639"/>
      <c r="L125" s="639"/>
      <c r="M125" s="640"/>
      <c r="N125" s="655" t="s">
        <v>365</v>
      </c>
      <c r="O125" s="655" t="s">
        <v>319</v>
      </c>
      <c r="P125" s="655" t="s">
        <v>178</v>
      </c>
      <c r="Q125" s="655" t="s">
        <v>372</v>
      </c>
    </row>
    <row r="126" spans="2:17" ht="15.95" customHeight="1" x14ac:dyDescent="0.2">
      <c r="B126" s="548" t="s">
        <v>554</v>
      </c>
      <c r="C126" s="547"/>
      <c r="D126" s="479">
        <f>G8</f>
        <v>0</v>
      </c>
      <c r="E126" s="322" t="s">
        <v>80</v>
      </c>
      <c r="G126" s="365" t="s">
        <v>409</v>
      </c>
      <c r="H126" s="384">
        <f>IF(OR(O108="",O108=0),0,H122/O108)</f>
        <v>0</v>
      </c>
      <c r="J126" s="357" t="str">
        <f>Berechnung!D59</f>
        <v>Förderdarlehen (Maßnahme; maximal bis zu 3.000,00 € / m²):</v>
      </c>
      <c r="K126" s="358"/>
      <c r="L126" s="358"/>
      <c r="M126" s="324"/>
      <c r="N126" s="322">
        <f ca="1">CELL("zeile",Berechnung!S59)</f>
        <v>59</v>
      </c>
      <c r="O126" s="322">
        <f ca="1">CELL("spalte",Berechnung!S59)</f>
        <v>19</v>
      </c>
      <c r="P126" s="322">
        <v>4</v>
      </c>
      <c r="Q126" s="360">
        <f>Grunddaten!H58</f>
        <v>2</v>
      </c>
    </row>
    <row r="127" spans="2:17" ht="15.95" customHeight="1" x14ac:dyDescent="0.2">
      <c r="B127" s="548" t="s">
        <v>555</v>
      </c>
      <c r="C127" s="547"/>
      <c r="D127" s="637">
        <f>IF(AND(ISNUMBER(R85)=TRUE,R85&lt;=R91,R85&lt;&gt;""),R85,R91)</f>
        <v>0</v>
      </c>
      <c r="E127" s="322" t="s">
        <v>80</v>
      </c>
      <c r="G127" s="1482" t="s">
        <v>389</v>
      </c>
      <c r="H127" s="1483"/>
      <c r="J127" s="405"/>
      <c r="K127" s="358"/>
      <c r="L127" s="358"/>
      <c r="M127" s="324"/>
      <c r="N127" s="322"/>
      <c r="O127" s="322"/>
      <c r="P127" s="322"/>
      <c r="Q127" s="322" t="s">
        <v>80</v>
      </c>
    </row>
    <row r="128" spans="2:17" ht="15.95" customHeight="1" x14ac:dyDescent="0.2">
      <c r="B128" s="650" t="s">
        <v>556</v>
      </c>
      <c r="C128" s="651"/>
      <c r="D128" s="652">
        <f>IF(D125=FALSE,0,D126*D127)</f>
        <v>0</v>
      </c>
      <c r="E128" s="653" t="s">
        <v>80</v>
      </c>
      <c r="G128" s="124" t="s">
        <v>251</v>
      </c>
      <c r="H128" s="378">
        <f>IF($H$77=FALSE,0,IF(AND(L16=FALSE,L17=FALSE),0,IF(M81=TRUE,ROUND((H78-Berechnung!$V$44)-H122,2),0)))</f>
        <v>0</v>
      </c>
      <c r="J128" s="359"/>
      <c r="K128" s="358"/>
      <c r="L128" s="358"/>
      <c r="M128" s="324"/>
      <c r="N128" s="322"/>
      <c r="O128" s="322"/>
      <c r="P128" s="322"/>
      <c r="Q128" s="322" t="s">
        <v>80</v>
      </c>
    </row>
    <row r="129" spans="2:18" ht="15.95" customHeight="1" x14ac:dyDescent="0.2">
      <c r="G129" s="1482" t="s">
        <v>717</v>
      </c>
      <c r="H129" s="1483"/>
      <c r="J129" s="359"/>
      <c r="K129" s="358"/>
      <c r="L129" s="358"/>
      <c r="M129" s="324"/>
      <c r="N129" s="322"/>
      <c r="O129" s="322"/>
      <c r="P129" s="322"/>
      <c r="Q129" s="322" t="s">
        <v>80</v>
      </c>
    </row>
    <row r="130" spans="2:18" ht="15.95" customHeight="1" x14ac:dyDescent="0.2">
      <c r="G130" s="326" t="str">
        <f>G118</f>
        <v>Zuschuss (pro m²):</v>
      </c>
      <c r="H130" s="381">
        <f>IF($H$77=FALSE,0,($H$116/($O$110*$H$87))*(($O$110*$H$87)/$O$109))</f>
        <v>0</v>
      </c>
      <c r="I130" s="868"/>
      <c r="J130" s="359"/>
      <c r="K130" s="358"/>
      <c r="L130" s="358"/>
      <c r="M130" s="324"/>
      <c r="N130" s="322"/>
      <c r="O130" s="322"/>
      <c r="P130" s="322"/>
      <c r="Q130" s="322" t="s">
        <v>80</v>
      </c>
    </row>
    <row r="131" spans="2:18" ht="15.95" customHeight="1" x14ac:dyDescent="0.2">
      <c r="B131" s="1340" t="s">
        <v>761</v>
      </c>
      <c r="C131" s="1341"/>
      <c r="D131" s="1342"/>
      <c r="E131" s="1343"/>
      <c r="G131" s="326" t="str">
        <f>G121</f>
        <v>Darlehen (pro m²):</v>
      </c>
      <c r="H131" s="381">
        <f>IF($H$77=FALSE,0,($H$119/($O$110*$H$87))*(($O$110*$H$87)/$O$109))</f>
        <v>0</v>
      </c>
      <c r="J131" s="359"/>
      <c r="K131" s="358"/>
      <c r="L131" s="358"/>
      <c r="M131" s="324"/>
      <c r="N131" s="322"/>
      <c r="O131" s="322"/>
      <c r="P131" s="322"/>
      <c r="Q131" s="322" t="s">
        <v>80</v>
      </c>
    </row>
    <row r="132" spans="2:18" ht="15.95" customHeight="1" x14ac:dyDescent="0.2">
      <c r="B132" s="931" t="s">
        <v>763</v>
      </c>
      <c r="C132" s="932"/>
      <c r="D132" s="638" t="b">
        <f>IF(AND($L$17=TRUE,$M$81=FALSE,G10&gt;0),TRUE,FALSE)</f>
        <v>0</v>
      </c>
      <c r="E132" s="322" t="s">
        <v>80</v>
      </c>
      <c r="G132" s="414" t="s">
        <v>409</v>
      </c>
      <c r="H132" s="869">
        <f>H130+H131</f>
        <v>0</v>
      </c>
      <c r="J132" s="629" t="s">
        <v>404</v>
      </c>
      <c r="K132" s="409"/>
      <c r="L132" s="409"/>
      <c r="M132" s="409"/>
      <c r="N132" s="410"/>
      <c r="O132" s="410"/>
      <c r="P132" s="410"/>
      <c r="Q132" s="411"/>
    </row>
    <row r="133" spans="2:18" ht="15.95" customHeight="1" x14ac:dyDescent="0.2">
      <c r="B133" s="929" t="s">
        <v>554</v>
      </c>
      <c r="C133" s="930"/>
      <c r="D133" s="479">
        <f>G8</f>
        <v>0</v>
      </c>
      <c r="E133" s="322" t="s">
        <v>80</v>
      </c>
      <c r="J133" s="325" t="str">
        <f>"Die Gesamtförderung i. H. v. "&amp;TEXT(K108,"#.##0,00")&amp;" EUR (≙ "&amp;TEXT(Q110,"#.##,00")&amp;"% der Kosten) "&amp;IF(Berechnung!$D$91="","entspricht","entspräche")&amp;" Ø "&amp;TEXT(K109,"#.##0,00")&amp;" EUR pro m² Wohnfläche bzw. Ø "&amp;TEXT(K110,"#.##0,00")&amp;" EUR pro WE."</f>
        <v>Die Gesamtförderung i. H. v. 0,00 EUR (≙ ,00% der Kosten) entspräche Ø 0,00 EUR pro m² Wohnfläche bzw. Ø 0,00 EUR pro WE.</v>
      </c>
      <c r="K133" s="358"/>
      <c r="L133" s="358"/>
      <c r="M133" s="358"/>
      <c r="N133" s="407"/>
      <c r="O133" s="407"/>
      <c r="P133" s="407"/>
      <c r="Q133" s="408"/>
    </row>
    <row r="134" spans="2:18" ht="15.95" customHeight="1" x14ac:dyDescent="0.2">
      <c r="B134" s="548" t="s">
        <v>779</v>
      </c>
      <c r="C134" s="547"/>
      <c r="D134" s="637">
        <v>500</v>
      </c>
      <c r="E134" s="322" t="s">
        <v>80</v>
      </c>
      <c r="G134" s="1324" t="s">
        <v>728</v>
      </c>
      <c r="H134" s="1326"/>
      <c r="J134" s="325" t="str">
        <f>IF($H$144=TRUE,"Die maximale Höchstförderung von "&amp;TEXT($H$142,"#.##0,00")&amp;" EUR / m² "&amp;IF(H132&gt;0,"(ohne Aufzugsförderung) ","")&amp;"wird durch den Zuschuss "&amp;CHAR(34)&amp;"Klimabaustein"&amp;CHAR(34)&amp;" um "&amp;TEXT($H$143,"#.##0,00")&amp;" EUR / m² überschritten; eine Förderung ist nur mit Ausnahmegenehmigung durch das MIL möglich.","")</f>
        <v/>
      </c>
      <c r="K134" s="358"/>
      <c r="L134" s="358"/>
      <c r="M134" s="358"/>
      <c r="N134" s="407"/>
      <c r="O134" s="407"/>
      <c r="P134" s="407"/>
      <c r="Q134" s="408"/>
    </row>
    <row r="135" spans="2:18" ht="15.95" customHeight="1" x14ac:dyDescent="0.2">
      <c r="B135" s="548" t="s">
        <v>778</v>
      </c>
      <c r="C135" s="547"/>
      <c r="D135" s="637">
        <v>300</v>
      </c>
      <c r="E135" s="322" t="s">
        <v>80</v>
      </c>
      <c r="G135" s="414" t="s">
        <v>719</v>
      </c>
      <c r="H135" s="869">
        <f>K109</f>
        <v>0</v>
      </c>
      <c r="J135" s="629" t="s">
        <v>463</v>
      </c>
      <c r="K135" s="409"/>
      <c r="L135" s="409"/>
      <c r="M135" s="409"/>
      <c r="N135" s="410"/>
      <c r="O135" s="410"/>
      <c r="P135" s="410"/>
      <c r="Q135" s="411"/>
    </row>
    <row r="136" spans="2:18" ht="15.95" customHeight="1" x14ac:dyDescent="0.2">
      <c r="B136" s="914" t="s">
        <v>759</v>
      </c>
      <c r="C136" s="547"/>
      <c r="D136" s="652">
        <f>IF($D$132=TRUE,$D$133*IF(OR($M$79=TRUE,$M$80=TRUE),$D$135,$D$134),0)</f>
        <v>0</v>
      </c>
      <c r="E136" s="322" t="s">
        <v>80</v>
      </c>
      <c r="G136" s="326" t="s">
        <v>723</v>
      </c>
      <c r="H136" s="381">
        <f>O143</f>
        <v>0</v>
      </c>
      <c r="J136" s="325" t="str">
        <f ca="1">IF(Berechnung!V15&lt;&gt;"",Berechnung!V15&amp;" - ","")&amp;IF(Berechnung!G15&lt;&gt;"",Berechnung!G15,"Unbestimmtes Objekt")&amp;" - "&amp;TEXT(NOW(),"JJJJ-MM-TT HH-MM-SS")&amp;" Uhr"</f>
        <v>Unbestimmtes Objekt - 2025-10-17 12-11-16 Uhr</v>
      </c>
      <c r="K136" s="358"/>
      <c r="L136" s="358"/>
      <c r="M136" s="358"/>
      <c r="N136" s="358"/>
      <c r="O136" s="358"/>
      <c r="P136" s="358"/>
      <c r="Q136" s="324"/>
    </row>
    <row r="137" spans="2:18" ht="15.95" customHeight="1" x14ac:dyDescent="0.2">
      <c r="B137" s="650" t="s">
        <v>850</v>
      </c>
      <c r="C137" s="547"/>
      <c r="D137" s="652" t="s">
        <v>80</v>
      </c>
      <c r="E137" s="322" t="s">
        <v>80</v>
      </c>
      <c r="G137" s="870" t="s">
        <v>724</v>
      </c>
      <c r="H137" s="871">
        <f>H131</f>
        <v>0</v>
      </c>
      <c r="J137" s="629" t="s">
        <v>570</v>
      </c>
      <c r="K137" s="409"/>
      <c r="L137" s="409"/>
      <c r="M137" s="409"/>
      <c r="N137" s="410"/>
      <c r="O137" s="410"/>
      <c r="P137" s="410"/>
      <c r="Q137" s="411"/>
    </row>
    <row r="138" spans="2:18" ht="15.95" customHeight="1" x14ac:dyDescent="0.2">
      <c r="G138" s="326" t="s">
        <v>720</v>
      </c>
      <c r="H138" s="381">
        <f>O139</f>
        <v>0</v>
      </c>
      <c r="J138" s="665" t="str">
        <f>IF($Q138=FALSE,"-",IF($M$108=1,"-",IF($Q138=TRUE,ROMAN(COUNTIF($Q$138:$Q138,TRUE)),"-")))</f>
        <v>-</v>
      </c>
      <c r="K138" s="664" t="str">
        <f>"Förderzuschuss "&amp;IF(AND($Q138=TRUE,$M$108&gt;1),J138&amp;" ","")&amp;"(Grundf.):"</f>
        <v>Förderzuschuss (Grundf.):</v>
      </c>
      <c r="L138" s="663"/>
      <c r="M138" s="666">
        <f>IF(Q138=FALSE,0,ROUNDUP(D136,-2))</f>
        <v>0</v>
      </c>
      <c r="N138" s="666">
        <f>IF(Q138=FALSE,0,D136)</f>
        <v>0</v>
      </c>
      <c r="O138" s="666">
        <f>IF(Q138=FALSE,0,IF(OR(M79=TRUE,M80=TRUE),D135,D134))</f>
        <v>0</v>
      </c>
      <c r="P138" s="660" t="s">
        <v>347</v>
      </c>
      <c r="Q138" s="661" t="b">
        <f>IF(AND($L$17=TRUE,$M$81=FALSE,$G$10&gt;0),TRUE,FALSE)</f>
        <v>0</v>
      </c>
      <c r="R138" s="774"/>
    </row>
    <row r="139" spans="2:18" ht="15.95" customHeight="1" x14ac:dyDescent="0.2">
      <c r="G139" s="326" t="s">
        <v>721</v>
      </c>
      <c r="H139" s="381">
        <f>H130</f>
        <v>0</v>
      </c>
      <c r="J139" s="665" t="str">
        <f>IF($Q139=FALSE,"-",IF($M$108=1,"-",IF($Q139=TRUE,ROMAN(COUNTIF($Q$138:$Q139,TRUE)),"-")))</f>
        <v>-</v>
      </c>
      <c r="K139" s="664" t="str">
        <f>"Förderzuschuss "&amp;IF(AND($Q139=TRUE,$M$108&gt;1),J139&amp;" ","")&amp;"(Bindung):"</f>
        <v>Förderzuschuss (Bindung):</v>
      </c>
      <c r="L139" s="663"/>
      <c r="M139" s="666">
        <f>IF(Q139=FALSE,0,IF(AND(G10-G11&gt;0,G10-G11&lt;ROUNDUP(D73,-2)),ROUNDUP(G10-G11,-2),IF(G10-G11&gt;ROUNDUP(D73,-2),ROUNDUP(D73,-2),0)))</f>
        <v>0</v>
      </c>
      <c r="N139" s="666">
        <f>IF(Q139=FALSE,0,IF(AND(G10-G11&gt;0,G10-G11&lt;D73),G10-G11,IF(G10-G11&gt;D73,D73,0)))</f>
        <v>0</v>
      </c>
      <c r="O139" s="666">
        <f>IF(Q139=FALSE,0,IF(AND(G10-G11&gt;0,G10-G11&lt;D73),(G10-G11)/O109,IF(G10-G11&gt;D73,D73/O109,0)))</f>
        <v>0</v>
      </c>
      <c r="P139" s="660" t="s">
        <v>347</v>
      </c>
      <c r="Q139" s="661" t="b">
        <f>IF(OR($M$76=TRUE,$M$78=TRUE,$M$80=TRUE),TRUE,FALSE)</f>
        <v>0</v>
      </c>
    </row>
    <row r="140" spans="2:18" ht="15.95" customHeight="1" x14ac:dyDescent="0.2">
      <c r="B140" s="1344" t="s">
        <v>760</v>
      </c>
      <c r="C140" s="1342"/>
      <c r="D140" s="1342"/>
      <c r="E140" s="1343"/>
      <c r="G140" s="326" t="s">
        <v>722</v>
      </c>
      <c r="H140" s="381">
        <f>O141</f>
        <v>0</v>
      </c>
      <c r="J140" s="665" t="str">
        <f>IF($Q140=FALSE,"-",IF($M$108=1,"-",IF($Q140=TRUE,ROMAN(COUNTIF($Q$138:$Q140,TRUE)),"-")))</f>
        <v>-</v>
      </c>
      <c r="K140" s="664" t="str">
        <f>"Förderzuschuss "&amp;IF(AND($Q140=TRUE,$M$108&gt;1),J140&amp;" ","")&amp;"(Aufzug):"</f>
        <v>Förderzuschuss (Aufzug):</v>
      </c>
      <c r="L140" s="663"/>
      <c r="M140" s="666">
        <f>IF(Q140=FALSE,0,ROUNDUP(H116,-2))</f>
        <v>0</v>
      </c>
      <c r="N140" s="666">
        <f>IF(Q140=FALSE,0,H116)</f>
        <v>0</v>
      </c>
      <c r="O140" s="666">
        <f>IF(Q140=FALSE,0,H117)</f>
        <v>0</v>
      </c>
      <c r="P140" s="660" t="s">
        <v>569</v>
      </c>
      <c r="Q140" s="661" t="b">
        <f>IF($H$77=TRUE,TRUE,FALSE)</f>
        <v>0</v>
      </c>
      <c r="R140" s="774"/>
    </row>
    <row r="141" spans="2:18" ht="15.95" customHeight="1" x14ac:dyDescent="0.2">
      <c r="B141" s="593"/>
      <c r="C141" s="547"/>
      <c r="D141" s="559"/>
      <c r="E141" s="322" t="s">
        <v>80</v>
      </c>
      <c r="G141" s="414" t="s">
        <v>725</v>
      </c>
      <c r="H141" s="869">
        <f>H136+H138+H140</f>
        <v>0</v>
      </c>
      <c r="J141" s="665" t="str">
        <f>IF($Q141=FALSE,"-",IF($M$108=1,"-",IF($Q141=TRUE,ROMAN(COUNTIF($Q$138:$Q141,TRUE)),"-")))</f>
        <v>-</v>
      </c>
      <c r="K141" s="664" t="str">
        <f>"Förderzuschuss "&amp;IF(AND($Q141=TRUE,$M$108&gt;1),J141&amp;" ","")&amp;"(Klimab.):"</f>
        <v>Förderzuschuss (Klimab.):</v>
      </c>
      <c r="L141" s="663"/>
      <c r="M141" s="666">
        <f>IF(Q141=FALSE,0,ROUNDUP(D128,-2))</f>
        <v>0</v>
      </c>
      <c r="N141" s="666">
        <f>IF(Q141=FALSE,0,D128)</f>
        <v>0</v>
      </c>
      <c r="O141" s="666">
        <f>IF(Q141=FALSE,0,D127)</f>
        <v>0</v>
      </c>
      <c r="P141" s="660" t="s">
        <v>347</v>
      </c>
      <c r="Q141" s="661" t="b">
        <f>IF(AND(R87=TRUE,R90=TRUE),TRUE,FALSE)</f>
        <v>0</v>
      </c>
    </row>
    <row r="142" spans="2:18" ht="15.95" customHeight="1" x14ac:dyDescent="0.2">
      <c r="B142" s="593"/>
      <c r="C142" s="547"/>
      <c r="D142" s="559"/>
      <c r="E142" s="322" t="s">
        <v>80</v>
      </c>
      <c r="G142" s="414" t="s">
        <v>727</v>
      </c>
      <c r="H142" s="869">
        <f>D72+G69</f>
        <v>3200</v>
      </c>
      <c r="J142" s="629" t="s">
        <v>574</v>
      </c>
      <c r="K142" s="409"/>
      <c r="L142" s="409"/>
      <c r="M142" s="409"/>
      <c r="N142" s="410"/>
      <c r="O142" s="410"/>
      <c r="P142" s="410"/>
      <c r="Q142" s="411"/>
      <c r="R142" s="774"/>
    </row>
    <row r="143" spans="2:18" ht="15.95" customHeight="1" x14ac:dyDescent="0.2">
      <c r="B143" s="593"/>
      <c r="C143" s="547"/>
      <c r="D143" s="559"/>
      <c r="E143" s="322" t="s">
        <v>80</v>
      </c>
      <c r="G143" s="326" t="s">
        <v>729</v>
      </c>
      <c r="H143" s="381">
        <f>MAX(0,H141-H142)</f>
        <v>0</v>
      </c>
      <c r="J143" s="679" t="str">
        <f>IF($Q143=FALSE,"-",IF($M$109=1,"-",IF($Q143=TRUE,ROMAN(COUNTIF($Q$143:$Q143,TRUE)),"-")))</f>
        <v>-</v>
      </c>
      <c r="K143" s="671" t="str">
        <f>"Förderdarlehen "&amp;IF(AND($Q143=TRUE,$M$109&gt;1),J143&amp;" ","")&amp;"(Maßnahme; maximal bis zu "&amp;TEXT($G$9-IF(AND(OR(AND($L$17=TRUE,$G$72=TRUE),AND($R$90=TRUE,$M$4=TRUE)),OR(Grunddaten!$H$40="",Grunddaten!$H$40=TRUE)),IF(AND($L$17=TRUE,$G$72=TRUE),$G$74,$R$85),0),"#.##0,00")&amp;" € / m²):"</f>
        <v>Förderdarlehen (Maßnahme; maximal bis zu 3.000,00 € / m²):</v>
      </c>
      <c r="L143" s="672"/>
      <c r="M143" s="682">
        <f>IF(Q143=FALSE,0,IF(D47&lt;0,0,IF($L$71&lt;&gt;$M$71,0,ROUNDUP(D47,-2))))</f>
        <v>0</v>
      </c>
      <c r="N143" s="682">
        <f>IF(Q143=FALSE,0,IF($L$71&lt;&gt;$M$71,0,IF(D47&lt;0,0,D47)))</f>
        <v>0</v>
      </c>
      <c r="O143" s="682">
        <f>ROUND(IF(Q143=FALSE,0,IF($L$71&lt;&gt;$M$71,0,IF(D56&lt;0,0,N143/G8))),2)</f>
        <v>0</v>
      </c>
      <c r="P143" s="678" t="s">
        <v>347</v>
      </c>
      <c r="Q143" s="673" t="b">
        <f>IF($M$81=TRUE,FALSE,TRUE)</f>
        <v>1</v>
      </c>
    </row>
    <row r="144" spans="2:18" ht="15.95" customHeight="1" x14ac:dyDescent="0.2">
      <c r="B144" s="593"/>
      <c r="C144" s="547"/>
      <c r="D144" s="559"/>
      <c r="E144" s="322" t="s">
        <v>80</v>
      </c>
      <c r="G144" s="326" t="s">
        <v>726</v>
      </c>
      <c r="H144" s="404" t="b">
        <f>IF(AND($L$16=TRUE,$R$90=TRUE,$H$141&gt;$H$142,$U$5=FALSE),TRUE,FALSE)</f>
        <v>0</v>
      </c>
      <c r="J144" s="679" t="str">
        <f>IF($Q144=FALSE,"-",IF($M$109=1,"-",IF($Q144=TRUE,ROMAN(COUNTIF($Q$143:$Q144,TRUE)),"-")))</f>
        <v>-</v>
      </c>
      <c r="K144" s="671" t="str">
        <f>"Förderdarlehen "&amp;IF(AND($Q144=TRUE,$M$109&gt;1),J144&amp;" ","")&amp;"(Aufzug):"</f>
        <v>Förderdarlehen (Aufzug):</v>
      </c>
      <c r="L144" s="672"/>
      <c r="M144" s="682">
        <f>IF(Q144=FALSE,0,ROUNDUP(H113,-2))</f>
        <v>0</v>
      </c>
      <c r="N144" s="682">
        <f>IF(Q144=FALSE,0,H119)</f>
        <v>0</v>
      </c>
      <c r="O144" s="682">
        <f>IF(Q144=FALSE,0,H120)</f>
        <v>0</v>
      </c>
      <c r="P144" s="678" t="s">
        <v>569</v>
      </c>
      <c r="Q144" s="673" t="b">
        <f>IF($H$77=TRUE,TRUE,FALSE)</f>
        <v>0</v>
      </c>
      <c r="R144" s="774"/>
    </row>
    <row r="145" spans="10:17" ht="15.95" customHeight="1" x14ac:dyDescent="0.2">
      <c r="J145" s="679" t="str">
        <f>IF($Q145=FALSE,"-",IF($M$109=1,"-",IF($Q145=TRUE,ROMAN(COUNTIF($Q$143:$Q145,TRUE)),"-")))</f>
        <v>-</v>
      </c>
      <c r="K145" s="671" t="str">
        <f>"Förderdarlehen "&amp;IF(AND($Q145=TRUE,$M$109&gt;1),J145&amp;" ","")&amp;"(Klimabaustein):"</f>
        <v>Förderdarlehen (Klimabaustein):</v>
      </c>
      <c r="L145" s="672"/>
      <c r="M145" s="682">
        <v>0</v>
      </c>
      <c r="N145" s="682">
        <v>0</v>
      </c>
      <c r="O145" s="682">
        <v>0</v>
      </c>
      <c r="P145" s="678" t="s">
        <v>347</v>
      </c>
      <c r="Q145" s="673" t="b">
        <f>IF(AND(R88=TRUE,R90=TRUE),TRUE,FALSE)</f>
        <v>0</v>
      </c>
    </row>
  </sheetData>
  <mergeCells count="173">
    <mergeCell ref="H46:H47"/>
    <mergeCell ref="K8:L10"/>
    <mergeCell ref="Y9:Y11"/>
    <mergeCell ref="Q89:R89"/>
    <mergeCell ref="S10:S11"/>
    <mergeCell ref="T10:T11"/>
    <mergeCell ref="U10:U11"/>
    <mergeCell ref="V10:V11"/>
    <mergeCell ref="X22:AG22"/>
    <mergeCell ref="X23:AC27"/>
    <mergeCell ref="X28:AG30"/>
    <mergeCell ref="W10:W11"/>
    <mergeCell ref="X10:X11"/>
    <mergeCell ref="S8:X8"/>
    <mergeCell ref="V9:X9"/>
    <mergeCell ref="S9:U9"/>
    <mergeCell ref="G127:H127"/>
    <mergeCell ref="G108:H108"/>
    <mergeCell ref="G112:H112"/>
    <mergeCell ref="G115:H115"/>
    <mergeCell ref="G129:H129"/>
    <mergeCell ref="G134:H134"/>
    <mergeCell ref="Q104:R104"/>
    <mergeCell ref="Q94:Q95"/>
    <mergeCell ref="R93:S93"/>
    <mergeCell ref="J101:M104"/>
    <mergeCell ref="G103:H103"/>
    <mergeCell ref="G96:H96"/>
    <mergeCell ref="G100:H100"/>
    <mergeCell ref="G104:H104"/>
    <mergeCell ref="B76:C76"/>
    <mergeCell ref="B78:C79"/>
    <mergeCell ref="B82:C82"/>
    <mergeCell ref="B80:C81"/>
    <mergeCell ref="D87:D89"/>
    <mergeCell ref="B87:B89"/>
    <mergeCell ref="B124:E124"/>
    <mergeCell ref="B113:E113"/>
    <mergeCell ref="J112:J114"/>
    <mergeCell ref="J115:J117"/>
    <mergeCell ref="G91:H91"/>
    <mergeCell ref="G92:H92"/>
    <mergeCell ref="D84:D85"/>
    <mergeCell ref="D78:D79"/>
    <mergeCell ref="G76:H76"/>
    <mergeCell ref="B84:C85"/>
    <mergeCell ref="E78:E82"/>
    <mergeCell ref="B97:C98"/>
    <mergeCell ref="B99:C100"/>
    <mergeCell ref="D97:D98"/>
    <mergeCell ref="D99:D100"/>
    <mergeCell ref="J95:M95"/>
    <mergeCell ref="J100:M100"/>
    <mergeCell ref="F4:G4"/>
    <mergeCell ref="B13:F13"/>
    <mergeCell ref="B11:F11"/>
    <mergeCell ref="F5:G5"/>
    <mergeCell ref="B12:F12"/>
    <mergeCell ref="B7:G7"/>
    <mergeCell ref="B23:D23"/>
    <mergeCell ref="B21:D21"/>
    <mergeCell ref="B22:D22"/>
    <mergeCell ref="B17:F17"/>
    <mergeCell ref="B8:F8"/>
    <mergeCell ref="B9:F9"/>
    <mergeCell ref="B10:F10"/>
    <mergeCell ref="B20:D20"/>
    <mergeCell ref="B18:D18"/>
    <mergeCell ref="B19:D19"/>
    <mergeCell ref="U2:V2"/>
    <mergeCell ref="U3:V3"/>
    <mergeCell ref="U4:V4"/>
    <mergeCell ref="B39:C39"/>
    <mergeCell ref="E39:F39"/>
    <mergeCell ref="B40:C40"/>
    <mergeCell ref="B34:F34"/>
    <mergeCell ref="E63:F63"/>
    <mergeCell ref="B52:G52"/>
    <mergeCell ref="B53:C53"/>
    <mergeCell ref="B38:C38"/>
    <mergeCell ref="E38:F38"/>
    <mergeCell ref="J8:J11"/>
    <mergeCell ref="J12:J19"/>
    <mergeCell ref="B15:F15"/>
    <mergeCell ref="B16:F16"/>
    <mergeCell ref="B14:F14"/>
    <mergeCell ref="H3:J3"/>
    <mergeCell ref="B24:F24"/>
    <mergeCell ref="S2:T2"/>
    <mergeCell ref="E50:F50"/>
    <mergeCell ref="B56:C56"/>
    <mergeCell ref="B54:C54"/>
    <mergeCell ref="B55:C55"/>
    <mergeCell ref="S3:T3"/>
    <mergeCell ref="S4:T4"/>
    <mergeCell ref="F2:G2"/>
    <mergeCell ref="F3:G3"/>
    <mergeCell ref="S5:T5"/>
    <mergeCell ref="R41:V41"/>
    <mergeCell ref="R34:V34"/>
    <mergeCell ref="R54:V54"/>
    <mergeCell ref="R63:V63"/>
    <mergeCell ref="S30:T30"/>
    <mergeCell ref="R23:V23"/>
    <mergeCell ref="U5:V5"/>
    <mergeCell ref="M12:M19"/>
    <mergeCell ref="M8:M11"/>
    <mergeCell ref="E62:F62"/>
    <mergeCell ref="B59:G59"/>
    <mergeCell ref="E49:F49"/>
    <mergeCell ref="E45:F45"/>
    <mergeCell ref="E40:F40"/>
    <mergeCell ref="B41:C41"/>
    <mergeCell ref="E41:F41"/>
    <mergeCell ref="B60:F60"/>
    <mergeCell ref="E51:F51"/>
    <mergeCell ref="B50:C50"/>
    <mergeCell ref="E61:F61"/>
    <mergeCell ref="B51:C51"/>
    <mergeCell ref="B49:C49"/>
    <mergeCell ref="E46:F46"/>
    <mergeCell ref="E37:G37"/>
    <mergeCell ref="B48:C48"/>
    <mergeCell ref="E48:F48"/>
    <mergeCell ref="B44:C45"/>
    <mergeCell ref="B33:F33"/>
    <mergeCell ref="B43:C43"/>
    <mergeCell ref="E43:F43"/>
    <mergeCell ref="E44:F44"/>
    <mergeCell ref="D44:D45"/>
    <mergeCell ref="B46:C46"/>
    <mergeCell ref="B36:D36"/>
    <mergeCell ref="E36:F36"/>
    <mergeCell ref="B37:D37"/>
    <mergeCell ref="B47:C47"/>
    <mergeCell ref="E47:F47"/>
    <mergeCell ref="D69:D71"/>
    <mergeCell ref="B42:C42"/>
    <mergeCell ref="E42:F42"/>
    <mergeCell ref="B131:E131"/>
    <mergeCell ref="B140:E140"/>
    <mergeCell ref="N8:O11"/>
    <mergeCell ref="Q8:Q11"/>
    <mergeCell ref="R8:R11"/>
    <mergeCell ref="P8:P11"/>
    <mergeCell ref="B67:E67"/>
    <mergeCell ref="B69:C71"/>
    <mergeCell ref="B72:C72"/>
    <mergeCell ref="B73:C73"/>
    <mergeCell ref="B68:E68"/>
    <mergeCell ref="B74:E74"/>
    <mergeCell ref="B77:E77"/>
    <mergeCell ref="B83:E83"/>
    <mergeCell ref="E69:E70"/>
    <mergeCell ref="B86:E86"/>
    <mergeCell ref="J86:K88"/>
    <mergeCell ref="J89:M90"/>
    <mergeCell ref="D95:D96"/>
    <mergeCell ref="B95:C96"/>
    <mergeCell ref="B75:C75"/>
    <mergeCell ref="B26:B32"/>
    <mergeCell ref="AA8:AG8"/>
    <mergeCell ref="AA9:AA11"/>
    <mergeCell ref="AB9:AB11"/>
    <mergeCell ref="AC9:AC11"/>
    <mergeCell ref="AD9:AG9"/>
    <mergeCell ref="AD10:AD11"/>
    <mergeCell ref="AE10:AE11"/>
    <mergeCell ref="AF10:AF11"/>
    <mergeCell ref="AG10:AG11"/>
    <mergeCell ref="Z9:Z11"/>
    <mergeCell ref="Y8:Z8"/>
    <mergeCell ref="B25:F25"/>
  </mergeCells>
  <dataValidations count="3">
    <dataValidation type="list" allowBlank="1" showInputMessage="1" showErrorMessage="1" sqref="S3 M3:M5 L86 L91 L96 H2 C3:C5 J2 U3 U5 R86:R88 D5 D3 T55:T71 T35:T40 T42:T53 L12:L19 O75:O82">
      <formula1>"WAHR,FALSCH"</formula1>
    </dataValidation>
    <dataValidation type="whole" allowBlank="1" showInputMessage="1" showErrorMessage="1" sqref="L11">
      <formula1>1</formula1>
      <formula2>COUNTA(K12:K19)</formula2>
    </dataValidation>
    <dataValidation type="whole" allowBlank="1" showInputMessage="1" showErrorMessage="1" sqref="E73">
      <formula1>-2</formula1>
      <formula2>2</formula2>
    </dataValidation>
  </dataValidations>
  <printOptions horizontalCentered="1"/>
  <pageMargins left="0.39370078740157483" right="0.39370078740157483" top="0.78740157480314965" bottom="0.78740157480314965" header="0.39370078740157483" footer="0.39370078740157483"/>
  <pageSetup paperSize="9" scale="44" fitToHeight="2" orientation="landscape" r:id="rId1"/>
  <headerFooter alignWithMargins="0"/>
  <customProperties>
    <customPr name="_pios_id" r:id="rId2"/>
  </customProperties>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06">
    <pageSetUpPr autoPageBreaks="0"/>
  </sheetPr>
  <dimension ref="A1:G57"/>
  <sheetViews>
    <sheetView showGridLines="0" showRowColHeaders="0" zoomScaleNormal="100" workbookViewId="0">
      <pane ySplit="2" topLeftCell="A3" activePane="bottomLeft" state="frozen"/>
      <selection pane="bottomLeft" activeCell="A4" sqref="A4"/>
    </sheetView>
  </sheetViews>
  <sheetFormatPr baseColWidth="10" defaultColWidth="10.25" defaultRowHeight="12.75" x14ac:dyDescent="0.2"/>
  <cols>
    <col min="1" max="1" width="12.625" style="591" customWidth="1"/>
    <col min="2" max="2" width="16.75" style="231" customWidth="1"/>
    <col min="3" max="3" width="30.625" style="1030" customWidth="1"/>
    <col min="4" max="5" width="12.625" style="31" customWidth="1"/>
    <col min="6" max="6" width="100.625" style="231" customWidth="1"/>
    <col min="7" max="13" width="10.25" style="30"/>
    <col min="14" max="21" width="10.25" style="30" customWidth="1"/>
    <col min="22" max="16384" width="10.25" style="30"/>
  </cols>
  <sheetData>
    <row r="1" spans="1:7" s="31" customFormat="1" ht="26.1" customHeight="1" x14ac:dyDescent="0.2">
      <c r="A1" s="1527" t="s">
        <v>131</v>
      </c>
      <c r="B1" s="1528"/>
      <c r="C1" s="1528"/>
      <c r="D1" s="1528"/>
      <c r="E1" s="1528"/>
      <c r="F1" s="1529"/>
      <c r="G1" s="30"/>
    </row>
    <row r="2" spans="1:7" s="31" customFormat="1" ht="26.1" customHeight="1" x14ac:dyDescent="0.2">
      <c r="A2" s="237" t="s">
        <v>130</v>
      </c>
      <c r="B2" s="238" t="s">
        <v>178</v>
      </c>
      <c r="C2" s="1026" t="s">
        <v>129</v>
      </c>
      <c r="D2" s="237" t="s">
        <v>7</v>
      </c>
      <c r="E2" s="237" t="s">
        <v>8</v>
      </c>
      <c r="F2" s="238" t="s">
        <v>128</v>
      </c>
      <c r="G2" s="30"/>
    </row>
    <row r="3" spans="1:7" s="31" customFormat="1" ht="56.25" x14ac:dyDescent="0.2">
      <c r="A3" s="590">
        <v>1</v>
      </c>
      <c r="B3" s="230" t="s">
        <v>140</v>
      </c>
      <c r="C3" s="236" t="str">
        <f>Daten!J24</f>
        <v>Maßnahmeart</v>
      </c>
      <c r="D3" s="235" t="b">
        <f>Daten!L24</f>
        <v>1</v>
      </c>
      <c r="E3" s="235" t="b">
        <f>Daten!M24</f>
        <v>1</v>
      </c>
      <c r="F3" s="232" t="s">
        <v>320</v>
      </c>
      <c r="G3" s="30"/>
    </row>
    <row r="4" spans="1:7" s="31" customFormat="1" ht="56.25" x14ac:dyDescent="0.2">
      <c r="A4" s="590">
        <f>A3+1</f>
        <v>2</v>
      </c>
      <c r="B4" s="230" t="s">
        <v>140</v>
      </c>
      <c r="C4" s="236" t="str">
        <f>Daten!J25</f>
        <v>Name</v>
      </c>
      <c r="D4" s="235" t="b">
        <f>Daten!L25</f>
        <v>1</v>
      </c>
      <c r="E4" s="235" t="b">
        <f>Daten!M25</f>
        <v>0</v>
      </c>
      <c r="F4" s="232" t="s">
        <v>321</v>
      </c>
      <c r="G4" s="30"/>
    </row>
    <row r="5" spans="1:7" s="31" customFormat="1" ht="56.25" x14ac:dyDescent="0.2">
      <c r="A5" s="590">
        <f>A4+1</f>
        <v>3</v>
      </c>
      <c r="B5" s="230" t="s">
        <v>140</v>
      </c>
      <c r="C5" s="236" t="str">
        <f>Daten!J26</f>
        <v>Objektanschrift</v>
      </c>
      <c r="D5" s="235" t="b">
        <f>Daten!L26</f>
        <v>1</v>
      </c>
      <c r="E5" s="235" t="b">
        <f>Daten!M26</f>
        <v>0</v>
      </c>
      <c r="F5" s="232" t="s">
        <v>283</v>
      </c>
      <c r="G5" s="30"/>
    </row>
    <row r="6" spans="1:7" s="31" customFormat="1" ht="135" x14ac:dyDescent="0.2">
      <c r="A6" s="590">
        <f t="shared" ref="A6:A9" si="0">A5+1</f>
        <v>4</v>
      </c>
      <c r="B6" s="230" t="s">
        <v>140</v>
      </c>
      <c r="C6" s="236" t="str">
        <f>Daten!J27</f>
        <v>Gemeinde gemäß Anlage 3 der RL</v>
      </c>
      <c r="D6" s="235" t="b">
        <f>Daten!L27</f>
        <v>1</v>
      </c>
      <c r="E6" s="235" t="b">
        <f>Daten!M27</f>
        <v>0</v>
      </c>
      <c r="F6" s="232" t="s">
        <v>322</v>
      </c>
      <c r="G6" s="30"/>
    </row>
    <row r="7" spans="1:7" s="31" customFormat="1" ht="78.75" x14ac:dyDescent="0.2">
      <c r="A7" s="590">
        <f t="shared" si="0"/>
        <v>5</v>
      </c>
      <c r="B7" s="230" t="s">
        <v>140</v>
      </c>
      <c r="C7" s="236" t="str">
        <f>Daten!J28</f>
        <v>Anzahl der Wohneinheiten (WE)</v>
      </c>
      <c r="D7" s="235" t="b">
        <f>Daten!L28</f>
        <v>1</v>
      </c>
      <c r="E7" s="235" t="b">
        <f>Daten!M28</f>
        <v>0</v>
      </c>
      <c r="F7" s="233" t="s">
        <v>284</v>
      </c>
      <c r="G7" s="30"/>
    </row>
    <row r="8" spans="1:7" s="31" customFormat="1" ht="78.75" x14ac:dyDescent="0.2">
      <c r="A8" s="590">
        <f t="shared" si="0"/>
        <v>6</v>
      </c>
      <c r="B8" s="230" t="s">
        <v>140</v>
      </c>
      <c r="C8" s="236" t="str">
        <f>Daten!J29</f>
        <v>Gesamtwohnfläche</v>
      </c>
      <c r="D8" s="235" t="b">
        <f>Daten!L29</f>
        <v>1</v>
      </c>
      <c r="E8" s="235" t="b">
        <f>Daten!M29</f>
        <v>0</v>
      </c>
      <c r="F8" s="233" t="s">
        <v>285</v>
      </c>
      <c r="G8" s="30"/>
    </row>
    <row r="9" spans="1:7" s="31" customFormat="1" ht="56.25" x14ac:dyDescent="0.2">
      <c r="A9" s="590">
        <f t="shared" si="0"/>
        <v>7</v>
      </c>
      <c r="B9" s="230" t="s">
        <v>140</v>
      </c>
      <c r="C9" s="236" t="str">
        <f>Daten!J30</f>
        <v>Grundstücksgröße</v>
      </c>
      <c r="D9" s="235" t="b">
        <f>Daten!L30</f>
        <v>1</v>
      </c>
      <c r="E9" s="235" t="b">
        <f>Daten!M30</f>
        <v>0</v>
      </c>
      <c r="F9" s="232" t="s">
        <v>286</v>
      </c>
      <c r="G9" s="30"/>
    </row>
    <row r="10" spans="1:7" s="31" customFormat="1" ht="56.25" x14ac:dyDescent="0.2">
      <c r="A10" s="590">
        <f t="shared" ref="A10:A43" si="1">A9+1</f>
        <v>8</v>
      </c>
      <c r="B10" s="230" t="s">
        <v>140</v>
      </c>
      <c r="C10" s="236" t="str">
        <f>Daten!J31</f>
        <v>Inanspruchnaahme Aufzugsförderung</v>
      </c>
      <c r="D10" s="235" t="b">
        <f>Daten!L31</f>
        <v>1</v>
      </c>
      <c r="E10" s="235" t="b">
        <f>Daten!M31</f>
        <v>0</v>
      </c>
      <c r="F10" s="232" t="s">
        <v>287</v>
      </c>
      <c r="G10" s="30"/>
    </row>
    <row r="11" spans="1:7" s="31" customFormat="1" ht="56.25" x14ac:dyDescent="0.2">
      <c r="A11" s="590">
        <f t="shared" si="1"/>
        <v>9</v>
      </c>
      <c r="B11" s="230" t="s">
        <v>140</v>
      </c>
      <c r="C11" s="1027" t="str">
        <f>IF(Daten!M3=TRUE,"Erreichter Standard "&amp;CHAR(34)&amp;"Klimabaustein"&amp;CHAR(34),"Erreichung Mindeststandard "&amp;CHAR(34)&amp;"Klimabaustein"&amp;CHAR(34))</f>
        <v>Erreichung Mindeststandard "Klimabaustein"</v>
      </c>
      <c r="D11" s="669" t="b">
        <f>Daten!L32</f>
        <v>0</v>
      </c>
      <c r="E11" s="669" t="b">
        <f>Daten!M32</f>
        <v>0</v>
      </c>
      <c r="F11" s="670" t="s">
        <v>572</v>
      </c>
      <c r="G11" s="30"/>
    </row>
    <row r="12" spans="1:7" s="31" customFormat="1" ht="56.25" x14ac:dyDescent="0.2">
      <c r="A12" s="590">
        <f t="shared" si="1"/>
        <v>10</v>
      </c>
      <c r="B12" s="230" t="s">
        <v>140</v>
      </c>
      <c r="C12" s="1028" t="s">
        <v>693</v>
      </c>
      <c r="D12" s="820" t="b">
        <f>Daten!L33</f>
        <v>0</v>
      </c>
      <c r="E12" s="669" t="b">
        <f>Daten!M33</f>
        <v>0</v>
      </c>
      <c r="F12" s="670" t="s">
        <v>695</v>
      </c>
      <c r="G12" s="30"/>
    </row>
    <row r="13" spans="1:7" s="31" customFormat="1" ht="56.25" x14ac:dyDescent="0.2">
      <c r="A13" s="590">
        <f t="shared" si="1"/>
        <v>11</v>
      </c>
      <c r="B13" s="230" t="s">
        <v>140</v>
      </c>
      <c r="C13" s="1031" t="s">
        <v>820</v>
      </c>
      <c r="D13" s="1032" t="b">
        <f>Daten!L34</f>
        <v>1</v>
      </c>
      <c r="E13" s="1032" t="b">
        <f>Daten!M34</f>
        <v>1</v>
      </c>
      <c r="F13" s="670" t="s">
        <v>821</v>
      </c>
      <c r="G13" s="30"/>
    </row>
    <row r="14" spans="1:7" s="31" customFormat="1" ht="101.25" x14ac:dyDescent="0.2">
      <c r="A14" s="590">
        <f t="shared" si="1"/>
        <v>12</v>
      </c>
      <c r="B14" s="230" t="s">
        <v>140</v>
      </c>
      <c r="C14" s="236" t="str">
        <f>Daten!J36</f>
        <v>WE / m² für 1. EK-Grenze</v>
      </c>
      <c r="D14" s="235" t="b">
        <f>Daten!L36</f>
        <v>1</v>
      </c>
      <c r="E14" s="235" t="b">
        <f>Daten!M36</f>
        <v>1</v>
      </c>
      <c r="F14" s="232" t="s">
        <v>288</v>
      </c>
      <c r="G14" s="30"/>
    </row>
    <row r="15" spans="1:7" s="31" customFormat="1" ht="101.25" x14ac:dyDescent="0.2">
      <c r="A15" s="590">
        <f t="shared" si="1"/>
        <v>13</v>
      </c>
      <c r="B15" s="230" t="s">
        <v>140</v>
      </c>
      <c r="C15" s="236" t="str">
        <f>Daten!J37</f>
        <v>WE / m² für 2. EK-Grenze</v>
      </c>
      <c r="D15" s="235" t="b">
        <f>Daten!L37</f>
        <v>1</v>
      </c>
      <c r="E15" s="235" t="b">
        <f>Daten!M37</f>
        <v>1</v>
      </c>
      <c r="F15" s="232" t="s">
        <v>289</v>
      </c>
      <c r="G15" s="30"/>
    </row>
    <row r="16" spans="1:7" s="31" customFormat="1" ht="157.5" x14ac:dyDescent="0.2">
      <c r="A16" s="590">
        <f t="shared" si="1"/>
        <v>14</v>
      </c>
      <c r="B16" s="230" t="s">
        <v>140</v>
      </c>
      <c r="C16" s="236" t="str">
        <f>Daten!J38</f>
        <v>WE / m² für 3. EK-Grenze</v>
      </c>
      <c r="D16" s="235" t="b">
        <f>Daten!L38</f>
        <v>1</v>
      </c>
      <c r="E16" s="235" t="b">
        <f>Daten!M38</f>
        <v>1</v>
      </c>
      <c r="F16" s="232" t="s">
        <v>815</v>
      </c>
      <c r="G16" s="30"/>
    </row>
    <row r="17" spans="1:7" s="31" customFormat="1" ht="45" x14ac:dyDescent="0.2">
      <c r="A17" s="590">
        <f t="shared" si="1"/>
        <v>15</v>
      </c>
      <c r="B17" s="230" t="s">
        <v>140</v>
      </c>
      <c r="C17" s="236" t="str">
        <f>Daten!J39</f>
        <v>Summe WE und m² gesamt</v>
      </c>
      <c r="D17" s="235" t="b">
        <f>Daten!L39</f>
        <v>1</v>
      </c>
      <c r="E17" s="235" t="b">
        <f>Daten!M39</f>
        <v>1</v>
      </c>
      <c r="F17" s="232" t="s">
        <v>290</v>
      </c>
      <c r="G17" s="30"/>
    </row>
    <row r="18" spans="1:7" s="31" customFormat="1" ht="80.099999999999994" customHeight="1" x14ac:dyDescent="0.2">
      <c r="A18" s="590">
        <f t="shared" si="1"/>
        <v>16</v>
      </c>
      <c r="B18" s="230" t="s">
        <v>140</v>
      </c>
      <c r="C18" s="1029" t="str">
        <f>Daten!J40</f>
        <v>Mit gefördertem Aufzug erreichbare WE</v>
      </c>
      <c r="D18" s="235" t="b">
        <f>Daten!L40</f>
        <v>0</v>
      </c>
      <c r="E18" s="235" t="b">
        <f>Daten!M40</f>
        <v>0</v>
      </c>
      <c r="F18" s="240" t="s">
        <v>505</v>
      </c>
      <c r="G18" s="30"/>
    </row>
    <row r="19" spans="1:7" s="31" customFormat="1" ht="80.099999999999994" customHeight="1" x14ac:dyDescent="0.2">
      <c r="A19" s="590">
        <f t="shared" si="1"/>
        <v>17</v>
      </c>
      <c r="B19" s="230" t="s">
        <v>140</v>
      </c>
      <c r="C19" s="1029" t="str">
        <f>Daten!J41</f>
        <v>Davon durch Aufzug barrierefrei erreichbare WE</v>
      </c>
      <c r="D19" s="235" t="b">
        <f>Daten!L41</f>
        <v>0</v>
      </c>
      <c r="E19" s="235" t="b">
        <f>Daten!M41</f>
        <v>0</v>
      </c>
      <c r="F19" s="240" t="s">
        <v>666</v>
      </c>
      <c r="G19" s="30"/>
    </row>
    <row r="20" spans="1:7" ht="90" x14ac:dyDescent="0.2">
      <c r="A20" s="590">
        <f t="shared" si="1"/>
        <v>18</v>
      </c>
      <c r="B20" s="230" t="s">
        <v>140</v>
      </c>
      <c r="C20" s="236" t="str">
        <f>Daten!J42</f>
        <v>Miethöhe für WE 1. EK-Grenze</v>
      </c>
      <c r="D20" s="235" t="b">
        <f>Daten!L42</f>
        <v>1</v>
      </c>
      <c r="E20" s="235" t="b">
        <f>Daten!M42</f>
        <v>0</v>
      </c>
      <c r="F20" s="232" t="s">
        <v>291</v>
      </c>
    </row>
    <row r="21" spans="1:7" ht="90" x14ac:dyDescent="0.2">
      <c r="A21" s="590">
        <f t="shared" si="1"/>
        <v>19</v>
      </c>
      <c r="B21" s="230" t="s">
        <v>140</v>
      </c>
      <c r="C21" s="236" t="str">
        <f>Daten!J43</f>
        <v>Miethöhe für WE 2. EK-Grenze</v>
      </c>
      <c r="D21" s="235" t="b">
        <f>Daten!L43</f>
        <v>1</v>
      </c>
      <c r="E21" s="235" t="b">
        <f>Daten!M43</f>
        <v>0</v>
      </c>
      <c r="F21" s="232" t="s">
        <v>192</v>
      </c>
    </row>
    <row r="22" spans="1:7" ht="90" x14ac:dyDescent="0.2">
      <c r="A22" s="590">
        <f t="shared" si="1"/>
        <v>20</v>
      </c>
      <c r="B22" s="230" t="s">
        <v>140</v>
      </c>
      <c r="C22" s="236" t="str">
        <f>Daten!J44</f>
        <v>Miethöhe für WE 3. EK-Grenze</v>
      </c>
      <c r="D22" s="235" t="b">
        <f>Daten!L44</f>
        <v>1</v>
      </c>
      <c r="E22" s="235" t="b">
        <f>Daten!M44</f>
        <v>0</v>
      </c>
      <c r="F22" s="234" t="s">
        <v>292</v>
      </c>
    </row>
    <row r="23" spans="1:7" ht="78.75" x14ac:dyDescent="0.2">
      <c r="A23" s="590">
        <f t="shared" si="1"/>
        <v>21</v>
      </c>
      <c r="B23" s="230" t="s">
        <v>140</v>
      </c>
      <c r="C23" s="236" t="str">
        <f>Daten!J45</f>
        <v>Sonstige Einnahmen</v>
      </c>
      <c r="D23" s="235" t="b">
        <f>Daten!L45</f>
        <v>0</v>
      </c>
      <c r="E23" s="235" t="b">
        <f>Daten!M45</f>
        <v>0</v>
      </c>
      <c r="F23" s="234" t="s">
        <v>293</v>
      </c>
    </row>
    <row r="24" spans="1:7" ht="78.75" x14ac:dyDescent="0.2">
      <c r="A24" s="590">
        <f t="shared" si="1"/>
        <v>22</v>
      </c>
      <c r="B24" s="230" t="s">
        <v>140</v>
      </c>
      <c r="C24" s="236" t="str">
        <f>Daten!J47</f>
        <v>Grundstückskosten</v>
      </c>
      <c r="D24" s="235" t="b">
        <f>Daten!L47</f>
        <v>1</v>
      </c>
      <c r="E24" s="235" t="b">
        <f>Daten!M47</f>
        <v>1</v>
      </c>
      <c r="F24" s="234" t="s">
        <v>294</v>
      </c>
    </row>
    <row r="25" spans="1:7" ht="78.75" x14ac:dyDescent="0.2">
      <c r="A25" s="590">
        <f t="shared" si="1"/>
        <v>23</v>
      </c>
      <c r="B25" s="230" t="s">
        <v>140</v>
      </c>
      <c r="C25" s="236" t="str">
        <f>Daten!J48</f>
        <v>Erwerbskosten</v>
      </c>
      <c r="D25" s="235" t="b">
        <f>Daten!L48</f>
        <v>1</v>
      </c>
      <c r="E25" s="235" t="b">
        <f>Daten!M48</f>
        <v>1</v>
      </c>
      <c r="F25" s="234" t="s">
        <v>295</v>
      </c>
    </row>
    <row r="26" spans="1:7" ht="78.75" x14ac:dyDescent="0.2">
      <c r="A26" s="590">
        <f t="shared" si="1"/>
        <v>24</v>
      </c>
      <c r="B26" s="230" t="s">
        <v>140</v>
      </c>
      <c r="C26" s="236" t="str">
        <f>Daten!J49</f>
        <v>Baukosten</v>
      </c>
      <c r="D26" s="235" t="b">
        <f>Daten!L49</f>
        <v>1</v>
      </c>
      <c r="E26" s="235" t="b">
        <f>Daten!M49</f>
        <v>0</v>
      </c>
      <c r="F26" s="234" t="s">
        <v>296</v>
      </c>
    </row>
    <row r="27" spans="1:7" ht="78.75" x14ac:dyDescent="0.2">
      <c r="A27" s="590">
        <f t="shared" si="1"/>
        <v>25</v>
      </c>
      <c r="B27" s="230" t="s">
        <v>140</v>
      </c>
      <c r="C27" s="236" t="str">
        <f>Daten!J50</f>
        <v>Baunebenkosten</v>
      </c>
      <c r="D27" s="235" t="b">
        <f>Daten!L50</f>
        <v>1</v>
      </c>
      <c r="E27" s="235" t="b">
        <f>Daten!M50</f>
        <v>1</v>
      </c>
      <c r="F27" s="234" t="s">
        <v>297</v>
      </c>
    </row>
    <row r="28" spans="1:7" ht="101.25" x14ac:dyDescent="0.2">
      <c r="A28" s="590">
        <f t="shared" si="1"/>
        <v>26</v>
      </c>
      <c r="B28" s="230" t="s">
        <v>140</v>
      </c>
      <c r="C28" s="236" t="str">
        <f>Daten!J51</f>
        <v>Eigenkapital</v>
      </c>
      <c r="D28" s="235" t="b">
        <f>Daten!L51</f>
        <v>1</v>
      </c>
      <c r="E28" s="235" t="b">
        <f>Daten!M51</f>
        <v>1</v>
      </c>
      <c r="F28" s="234" t="s">
        <v>298</v>
      </c>
    </row>
    <row r="29" spans="1:7" ht="101.25" x14ac:dyDescent="0.2">
      <c r="A29" s="590">
        <f t="shared" si="1"/>
        <v>27</v>
      </c>
      <c r="B29" s="230" t="s">
        <v>140</v>
      </c>
      <c r="C29" s="236" t="str">
        <f>Daten!J52</f>
        <v>Selbsthilfe</v>
      </c>
      <c r="D29" s="235" t="b">
        <f>Daten!L52</f>
        <v>0</v>
      </c>
      <c r="E29" s="235" t="b">
        <f>Daten!M52</f>
        <v>0</v>
      </c>
      <c r="F29" s="234" t="s">
        <v>299</v>
      </c>
    </row>
    <row r="30" spans="1:7" ht="101.25" x14ac:dyDescent="0.2">
      <c r="A30" s="590">
        <f t="shared" si="1"/>
        <v>28</v>
      </c>
      <c r="B30" s="230" t="s">
        <v>140</v>
      </c>
      <c r="C30" s="236" t="str">
        <f>Daten!J53</f>
        <v>Wert des Baugrundstücks</v>
      </c>
      <c r="D30" s="235" t="b">
        <f>Daten!L53</f>
        <v>0</v>
      </c>
      <c r="E30" s="235" t="b">
        <f>Daten!M53</f>
        <v>0</v>
      </c>
      <c r="F30" s="234" t="s">
        <v>299</v>
      </c>
    </row>
    <row r="31" spans="1:7" ht="78.75" x14ac:dyDescent="0.2">
      <c r="A31" s="590">
        <f t="shared" si="1"/>
        <v>29</v>
      </c>
      <c r="B31" s="230" t="s">
        <v>140</v>
      </c>
      <c r="C31" s="236" t="str">
        <f>Daten!J54</f>
        <v>Wert vorhandener Gebäudeteile</v>
      </c>
      <c r="D31" s="235" t="b">
        <f>Daten!L54</f>
        <v>0</v>
      </c>
      <c r="E31" s="235" t="b">
        <f>Daten!M54</f>
        <v>0</v>
      </c>
      <c r="F31" s="234" t="s">
        <v>300</v>
      </c>
    </row>
    <row r="32" spans="1:7" ht="78.75" x14ac:dyDescent="0.2">
      <c r="A32" s="590">
        <f t="shared" si="1"/>
        <v>30</v>
      </c>
      <c r="B32" s="230" t="s">
        <v>140</v>
      </c>
      <c r="C32" s="236" t="str">
        <f>Daten!J55</f>
        <v>Eigenleistungen (Gesamt)</v>
      </c>
      <c r="D32" s="235" t="b">
        <f>Daten!L55</f>
        <v>1</v>
      </c>
      <c r="E32" s="235" t="b">
        <f>Daten!M55</f>
        <v>0</v>
      </c>
      <c r="F32" s="234" t="s">
        <v>309</v>
      </c>
    </row>
    <row r="33" spans="1:7" ht="39.950000000000003" customHeight="1" x14ac:dyDescent="0.2">
      <c r="A33" s="590">
        <f t="shared" si="1"/>
        <v>31</v>
      </c>
      <c r="B33" s="230" t="s">
        <v>140</v>
      </c>
      <c r="C33" s="236" t="str">
        <f>Daten!J56</f>
        <v>Weitere Zuschüsse</v>
      </c>
      <c r="D33" s="235" t="b">
        <f>Daten!L56</f>
        <v>0</v>
      </c>
      <c r="E33" s="235" t="b">
        <f>Daten!M56</f>
        <v>0</v>
      </c>
      <c r="F33" s="234"/>
    </row>
    <row r="34" spans="1:7" ht="101.25" x14ac:dyDescent="0.2">
      <c r="A34" s="590">
        <f t="shared" si="1"/>
        <v>32</v>
      </c>
      <c r="B34" s="230" t="s">
        <v>140</v>
      </c>
      <c r="C34" s="236" t="str">
        <f>Daten!J58</f>
        <v>Kapitaldienst aus bereits bestehenden Finanzierungen</v>
      </c>
      <c r="D34" s="235" t="b">
        <f>Daten!L58</f>
        <v>0</v>
      </c>
      <c r="E34" s="235" t="b">
        <f>Daten!M58</f>
        <v>0</v>
      </c>
      <c r="F34" s="234" t="s">
        <v>301</v>
      </c>
    </row>
    <row r="35" spans="1:7" ht="123.75" x14ac:dyDescent="0.2">
      <c r="A35" s="590">
        <f t="shared" si="1"/>
        <v>33</v>
      </c>
      <c r="B35" s="230" t="s">
        <v>140</v>
      </c>
      <c r="C35" s="236" t="str">
        <f>Daten!J59</f>
        <v>Tilgungssatz Förderdarlehen</v>
      </c>
      <c r="D35" s="235" t="b">
        <f>Daten!L59</f>
        <v>1</v>
      </c>
      <c r="E35" s="235" t="b">
        <f>Daten!M59</f>
        <v>1</v>
      </c>
      <c r="F35" s="234" t="s">
        <v>308</v>
      </c>
    </row>
    <row r="36" spans="1:7" ht="180" x14ac:dyDescent="0.2">
      <c r="A36" s="590">
        <f t="shared" si="1"/>
        <v>34</v>
      </c>
      <c r="B36" s="230" t="s">
        <v>140</v>
      </c>
      <c r="C36" s="1025" t="str">
        <f>Daten!J60</f>
        <v>Zinssatz Sonstige vorgesehene Finanzierung</v>
      </c>
      <c r="D36" s="589" t="b">
        <f>Daten!L60</f>
        <v>0</v>
      </c>
      <c r="E36" s="589" t="b">
        <f>Daten!M60</f>
        <v>0</v>
      </c>
      <c r="F36" s="232" t="s">
        <v>506</v>
      </c>
    </row>
    <row r="37" spans="1:7" ht="180" x14ac:dyDescent="0.2">
      <c r="A37" s="590">
        <f t="shared" si="1"/>
        <v>35</v>
      </c>
      <c r="B37" s="230" t="s">
        <v>140</v>
      </c>
      <c r="C37" s="1025" t="str">
        <f>Daten!J61</f>
        <v>Tilgungssatz Sonstige vorgesehene Finanzierung</v>
      </c>
      <c r="D37" s="589" t="b">
        <f>Daten!L61</f>
        <v>0</v>
      </c>
      <c r="E37" s="589" t="b">
        <f>Daten!M61</f>
        <v>0</v>
      </c>
      <c r="F37" s="232" t="s">
        <v>507</v>
      </c>
    </row>
    <row r="38" spans="1:7" ht="191.25" x14ac:dyDescent="0.2">
      <c r="A38" s="590">
        <f t="shared" si="1"/>
        <v>36</v>
      </c>
      <c r="B38" s="230" t="s">
        <v>140</v>
      </c>
      <c r="C38" s="236" t="str">
        <f>Daten!J62</f>
        <v>Zinssatz Restfinanzierung</v>
      </c>
      <c r="D38" s="235" t="b">
        <f>Daten!L62</f>
        <v>1</v>
      </c>
      <c r="E38" s="235" t="b">
        <f>Daten!M62</f>
        <v>0</v>
      </c>
      <c r="F38" s="232" t="s">
        <v>394</v>
      </c>
    </row>
    <row r="39" spans="1:7" ht="191.25" x14ac:dyDescent="0.2">
      <c r="A39" s="590">
        <f t="shared" si="1"/>
        <v>37</v>
      </c>
      <c r="B39" s="230" t="s">
        <v>140</v>
      </c>
      <c r="C39" s="236" t="str">
        <f>Daten!J63</f>
        <v>Tilgungssatz Restfinanzierung</v>
      </c>
      <c r="D39" s="235" t="b">
        <f>Daten!L63</f>
        <v>1</v>
      </c>
      <c r="E39" s="235" t="b">
        <f>Daten!M63</f>
        <v>0</v>
      </c>
      <c r="F39" s="232" t="s">
        <v>395</v>
      </c>
    </row>
    <row r="40" spans="1:7" ht="135" x14ac:dyDescent="0.2">
      <c r="A40" s="590">
        <f t="shared" si="1"/>
        <v>38</v>
      </c>
      <c r="B40" s="230" t="s">
        <v>140</v>
      </c>
      <c r="C40" s="236" t="str">
        <f>Daten!J65</f>
        <v>Aufzug vorhanden</v>
      </c>
      <c r="D40" s="235" t="b">
        <f>Daten!L65</f>
        <v>0</v>
      </c>
      <c r="E40" s="235" t="b">
        <f>Daten!M65</f>
        <v>0</v>
      </c>
      <c r="F40" s="232" t="s">
        <v>302</v>
      </c>
    </row>
    <row r="41" spans="1:7" ht="90" x14ac:dyDescent="0.2">
      <c r="A41" s="590">
        <f t="shared" si="1"/>
        <v>39</v>
      </c>
      <c r="B41" s="230" t="s">
        <v>140</v>
      </c>
      <c r="C41" s="236" t="str">
        <f>Daten!J66</f>
        <v>Anzahl Stellplätze</v>
      </c>
      <c r="D41" s="235" t="b">
        <f>Daten!L66</f>
        <v>1</v>
      </c>
      <c r="E41" s="235" t="b">
        <f>Daten!M66</f>
        <v>1</v>
      </c>
      <c r="F41" s="232" t="s">
        <v>843</v>
      </c>
    </row>
    <row r="42" spans="1:7" ht="90" x14ac:dyDescent="0.2">
      <c r="A42" s="590">
        <f t="shared" si="1"/>
        <v>40</v>
      </c>
      <c r="B42" s="230" t="s">
        <v>140</v>
      </c>
      <c r="C42" s="1064" t="s">
        <v>793</v>
      </c>
      <c r="D42" s="235" t="b">
        <f>Daten!L67</f>
        <v>1</v>
      </c>
      <c r="E42" s="235" t="b">
        <f>Daten!M67</f>
        <v>1</v>
      </c>
      <c r="F42" s="232" t="s">
        <v>844</v>
      </c>
    </row>
    <row r="43" spans="1:7" ht="90" customHeight="1" x14ac:dyDescent="0.2">
      <c r="A43" s="590">
        <f t="shared" si="1"/>
        <v>41</v>
      </c>
      <c r="B43" s="230" t="s">
        <v>140</v>
      </c>
      <c r="C43" s="1031" t="str">
        <f>Daten!J69</f>
        <v>Nichtverfügbarkeit Deckungsbeitrag</v>
      </c>
      <c r="D43" s="1032" t="b">
        <f>Daten!L69</f>
        <v>0</v>
      </c>
      <c r="E43" s="1032" t="b">
        <f>Daten!M69</f>
        <v>0</v>
      </c>
      <c r="F43" s="232" t="s">
        <v>816</v>
      </c>
    </row>
    <row r="44" spans="1:7" ht="101.25" x14ac:dyDescent="0.2">
      <c r="A44" s="590">
        <f>A41+1</f>
        <v>40</v>
      </c>
      <c r="B44" s="230" t="s">
        <v>140</v>
      </c>
      <c r="C44" s="236" t="str">
        <f>Daten!J70</f>
        <v>Objektwirtschaftlichkeit vor Maßnahmebeginn</v>
      </c>
      <c r="D44" s="235" t="b">
        <f>Daten!L70</f>
        <v>0</v>
      </c>
      <c r="E44" s="235" t="b">
        <f>Daten!M70</f>
        <v>0</v>
      </c>
      <c r="F44" s="232" t="s">
        <v>303</v>
      </c>
    </row>
    <row r="45" spans="1:7" s="31" customFormat="1" x14ac:dyDescent="0.2">
      <c r="A45" s="591"/>
      <c r="B45" s="231"/>
      <c r="C45" s="1030"/>
      <c r="F45" s="231"/>
      <c r="G45" s="30"/>
    </row>
    <row r="46" spans="1:7" s="31" customFormat="1" x14ac:dyDescent="0.2">
      <c r="A46" s="591"/>
      <c r="B46" s="231"/>
      <c r="C46" s="1030"/>
      <c r="F46" s="231"/>
      <c r="G46" s="30"/>
    </row>
    <row r="47" spans="1:7" s="31" customFormat="1" x14ac:dyDescent="0.2">
      <c r="A47" s="591"/>
      <c r="B47" s="231"/>
      <c r="C47" s="1030"/>
      <c r="F47" s="231"/>
      <c r="G47" s="30"/>
    </row>
    <row r="48" spans="1:7" s="31" customFormat="1" x14ac:dyDescent="0.2">
      <c r="A48" s="591"/>
      <c r="B48" s="231"/>
      <c r="C48" s="1030"/>
      <c r="F48" s="231"/>
      <c r="G48" s="30"/>
    </row>
    <row r="49" spans="1:7" s="31" customFormat="1" x14ac:dyDescent="0.2">
      <c r="A49" s="591"/>
      <c r="B49" s="231"/>
      <c r="C49" s="1030"/>
      <c r="F49" s="231"/>
      <c r="G49" s="30"/>
    </row>
    <row r="50" spans="1:7" s="31" customFormat="1" x14ac:dyDescent="0.2">
      <c r="A50" s="591"/>
      <c r="B50" s="231"/>
      <c r="C50" s="1030"/>
      <c r="F50" s="231"/>
      <c r="G50" s="30"/>
    </row>
    <row r="51" spans="1:7" s="31" customFormat="1" x14ac:dyDescent="0.2">
      <c r="A51" s="591"/>
      <c r="B51" s="231"/>
      <c r="C51" s="1030"/>
      <c r="F51" s="231"/>
      <c r="G51" s="30"/>
    </row>
    <row r="52" spans="1:7" s="31" customFormat="1" x14ac:dyDescent="0.2">
      <c r="A52" s="591"/>
      <c r="B52" s="231"/>
      <c r="C52" s="1030"/>
      <c r="F52" s="231"/>
      <c r="G52" s="30"/>
    </row>
    <row r="53" spans="1:7" s="31" customFormat="1" x14ac:dyDescent="0.2">
      <c r="A53" s="591"/>
      <c r="B53" s="231"/>
      <c r="C53" s="1030"/>
      <c r="F53" s="231"/>
      <c r="G53" s="30"/>
    </row>
    <row r="54" spans="1:7" s="31" customFormat="1" x14ac:dyDescent="0.2">
      <c r="A54" s="591"/>
      <c r="B54" s="231"/>
      <c r="C54" s="1030"/>
      <c r="F54" s="231"/>
      <c r="G54" s="30"/>
    </row>
    <row r="55" spans="1:7" s="31" customFormat="1" x14ac:dyDescent="0.2">
      <c r="A55" s="591"/>
      <c r="B55" s="231"/>
      <c r="C55" s="1030"/>
      <c r="F55" s="231"/>
      <c r="G55" s="30"/>
    </row>
    <row r="56" spans="1:7" s="31" customFormat="1" x14ac:dyDescent="0.2">
      <c r="A56" s="591"/>
      <c r="B56" s="231"/>
      <c r="C56" s="1030"/>
      <c r="F56" s="231"/>
      <c r="G56" s="30"/>
    </row>
    <row r="57" spans="1:7" s="31" customFormat="1" x14ac:dyDescent="0.2">
      <c r="A57" s="591"/>
      <c r="B57" s="231"/>
      <c r="C57" s="1030"/>
      <c r="F57" s="231"/>
      <c r="G57" s="30"/>
    </row>
  </sheetData>
  <autoFilter ref="A2:F2"/>
  <mergeCells count="1">
    <mergeCell ref="A1:F1"/>
  </mergeCells>
  <pageMargins left="0.78740157499999996" right="0.78740157499999996" top="0.984251969" bottom="0.984251969" header="0.4921259845" footer="0.4921259845"/>
  <pageSetup paperSize="9" orientation="portrait" r:id="rId1"/>
  <headerFooter alignWithMargins="0"/>
  <customProperties>
    <customPr name="_pios_id" r:id="rId2"/>
  </customPropertie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07"/>
  <dimension ref="B2:P122"/>
  <sheetViews>
    <sheetView showGridLines="0" showRowColHeaders="0" workbookViewId="0">
      <pane ySplit="10" topLeftCell="A11" activePane="bottomLeft" state="frozen"/>
      <selection pane="bottomLeft" activeCell="A4" sqref="A4"/>
    </sheetView>
  </sheetViews>
  <sheetFormatPr baseColWidth="10" defaultColWidth="11" defaultRowHeight="18" customHeight="1" x14ac:dyDescent="0.2"/>
  <cols>
    <col min="1" max="1" width="4.625" style="16" customWidth="1"/>
    <col min="2" max="2" width="60.625" style="599" customWidth="1"/>
    <col min="3" max="3" width="40.625" style="597" customWidth="1"/>
    <col min="4" max="6" width="6.625" style="598" customWidth="1"/>
    <col min="7" max="7" width="16.625" style="597" customWidth="1"/>
    <col min="8" max="8" width="6.625" style="598" customWidth="1"/>
    <col min="9" max="10" width="12.625" style="598" customWidth="1"/>
    <col min="11" max="11" width="20.625" style="429" customWidth="1"/>
    <col min="12" max="16" width="20.625" style="599" customWidth="1"/>
    <col min="17" max="17" width="4.625" style="16" customWidth="1"/>
    <col min="18" max="16384" width="11" style="16"/>
  </cols>
  <sheetData>
    <row r="2" spans="2:16" ht="18" customHeight="1" x14ac:dyDescent="0.2">
      <c r="B2" s="596" t="s">
        <v>538</v>
      </c>
    </row>
    <row r="3" spans="2:16" ht="18" customHeight="1" x14ac:dyDescent="0.2">
      <c r="D3" s="1223" t="s">
        <v>603</v>
      </c>
      <c r="E3" s="1223"/>
      <c r="F3" s="1223"/>
      <c r="G3" s="595" t="s">
        <v>546</v>
      </c>
      <c r="H3" s="595" t="s">
        <v>547</v>
      </c>
      <c r="I3" s="1536" t="s">
        <v>604</v>
      </c>
      <c r="J3" s="1537"/>
      <c r="K3" s="600" t="s">
        <v>535</v>
      </c>
      <c r="L3" s="601" t="b">
        <f>IF(SUMPRODUCT((L$11:L$112&lt;&gt;"")*1)&gt;0,TRUE,FALSE)</f>
        <v>0</v>
      </c>
      <c r="M3" s="601" t="b">
        <f>IF(SUMPRODUCT((M$11:M$112&lt;&gt;"")*1)&gt;0,TRUE,FALSE)</f>
        <v>0</v>
      </c>
      <c r="N3" s="601" t="b">
        <v>0</v>
      </c>
      <c r="O3" s="807" t="b">
        <v>0</v>
      </c>
      <c r="P3" s="807" t="b">
        <v>0</v>
      </c>
    </row>
    <row r="4" spans="2:16" ht="36" customHeight="1" x14ac:dyDescent="0.2">
      <c r="C4" s="599"/>
      <c r="D4" s="602">
        <f>IF(G4=FALSE,0,MATCH(FALSE,L3:P3,0))</f>
        <v>1</v>
      </c>
      <c r="E4" s="594" t="s">
        <v>536</v>
      </c>
      <c r="F4" s="602">
        <f>ROW(B11)</f>
        <v>11</v>
      </c>
      <c r="G4" s="1530" t="b">
        <f>IF(H4=5,FALSE,TRUE)</f>
        <v>1</v>
      </c>
      <c r="H4" s="1532">
        <f>COUNTIF(L3:P3,TRUE)</f>
        <v>0</v>
      </c>
      <c r="I4" s="429" t="s">
        <v>601</v>
      </c>
      <c r="J4" s="707">
        <f>COLUMN(L3)</f>
        <v>12</v>
      </c>
      <c r="K4" s="600" t="s">
        <v>545</v>
      </c>
      <c r="L4" s="615"/>
      <c r="M4" s="615"/>
      <c r="N4" s="615"/>
      <c r="O4" s="615"/>
      <c r="P4" s="615"/>
    </row>
    <row r="5" spans="2:16" ht="18" customHeight="1" x14ac:dyDescent="0.2">
      <c r="C5" s="599"/>
      <c r="D5" s="601">
        <f>COLUMN(K10)</f>
        <v>11</v>
      </c>
      <c r="E5" s="594" t="s">
        <v>537</v>
      </c>
      <c r="F5" s="601">
        <f>COUNTA($B$11:$B$219)+F4-1</f>
        <v>122</v>
      </c>
      <c r="G5" s="1531"/>
      <c r="H5" s="1530"/>
      <c r="I5" s="706" t="s">
        <v>602</v>
      </c>
      <c r="J5" s="707">
        <f>COLUMN(P3)</f>
        <v>16</v>
      </c>
      <c r="K5" s="600" t="s">
        <v>544</v>
      </c>
      <c r="L5" s="708"/>
      <c r="M5" s="616"/>
      <c r="N5" s="616"/>
      <c r="O5" s="616"/>
      <c r="P5" s="616"/>
    </row>
    <row r="6" spans="2:16" ht="18" customHeight="1" x14ac:dyDescent="0.2">
      <c r="C6" s="599"/>
      <c r="D6" s="728" t="s">
        <v>80</v>
      </c>
      <c r="E6" s="729" t="s">
        <v>80</v>
      </c>
      <c r="F6" s="728" t="s">
        <v>80</v>
      </c>
      <c r="G6" s="728" t="s">
        <v>80</v>
      </c>
      <c r="H6" s="728" t="s">
        <v>80</v>
      </c>
      <c r="I6" s="1538" t="s">
        <v>627</v>
      </c>
      <c r="J6" s="1539"/>
      <c r="K6" s="727" t="s">
        <v>626</v>
      </c>
      <c r="L6" s="775"/>
      <c r="M6" s="775"/>
      <c r="N6" s="775"/>
      <c r="O6" s="775"/>
      <c r="P6" s="775"/>
    </row>
    <row r="7" spans="2:16" ht="18" customHeight="1" x14ac:dyDescent="0.2">
      <c r="C7" s="599"/>
      <c r="D7" s="728" t="s">
        <v>80</v>
      </c>
      <c r="E7" s="729" t="s">
        <v>80</v>
      </c>
      <c r="F7" s="728" t="s">
        <v>80</v>
      </c>
      <c r="G7" s="728" t="s">
        <v>80</v>
      </c>
      <c r="H7" s="728" t="s">
        <v>80</v>
      </c>
      <c r="I7" s="1540"/>
      <c r="J7" s="1541"/>
      <c r="K7" s="727" t="s">
        <v>624</v>
      </c>
      <c r="L7" s="775"/>
      <c r="M7" s="775"/>
      <c r="N7" s="775"/>
      <c r="O7" s="775"/>
      <c r="P7" s="775"/>
    </row>
    <row r="8" spans="2:16" ht="18" customHeight="1" x14ac:dyDescent="0.2">
      <c r="C8" s="599"/>
      <c r="D8" s="728" t="s">
        <v>80</v>
      </c>
      <c r="E8" s="729" t="s">
        <v>80</v>
      </c>
      <c r="F8" s="728" t="s">
        <v>80</v>
      </c>
      <c r="G8" s="728" t="s">
        <v>80</v>
      </c>
      <c r="H8" s="728" t="s">
        <v>80</v>
      </c>
      <c r="I8" s="1542"/>
      <c r="J8" s="1543"/>
      <c r="K8" s="727" t="s">
        <v>625</v>
      </c>
      <c r="L8" s="775"/>
      <c r="M8" s="775"/>
      <c r="N8" s="775"/>
      <c r="O8" s="775"/>
      <c r="P8" s="775"/>
    </row>
    <row r="9" spans="2:16" s="337" customFormat="1" ht="18" customHeight="1" x14ac:dyDescent="0.2">
      <c r="B9" s="595" t="s">
        <v>534</v>
      </c>
      <c r="C9" s="1533" t="s">
        <v>533</v>
      </c>
      <c r="D9" s="1534"/>
      <c r="E9" s="1534"/>
      <c r="F9" s="1534"/>
      <c r="G9" s="1534"/>
      <c r="H9" s="1534"/>
      <c r="I9" s="1534"/>
      <c r="J9" s="1535"/>
      <c r="K9" s="705" t="s">
        <v>593</v>
      </c>
      <c r="L9" s="1223" t="s">
        <v>532</v>
      </c>
      <c r="M9" s="1223"/>
      <c r="N9" s="1223"/>
      <c r="O9" s="1223"/>
      <c r="P9" s="1223"/>
    </row>
    <row r="10" spans="2:16" ht="18" customHeight="1" x14ac:dyDescent="0.2">
      <c r="B10" s="603" t="s">
        <v>129</v>
      </c>
      <c r="C10" s="604" t="s">
        <v>514</v>
      </c>
      <c r="D10" s="605" t="s">
        <v>515</v>
      </c>
      <c r="E10" s="605" t="s">
        <v>516</v>
      </c>
      <c r="F10" s="605" t="s">
        <v>517</v>
      </c>
      <c r="G10" s="604" t="s">
        <v>317</v>
      </c>
      <c r="H10" s="605" t="s">
        <v>493</v>
      </c>
      <c r="I10" s="605" t="s">
        <v>594</v>
      </c>
      <c r="J10" s="704" t="s">
        <v>606</v>
      </c>
      <c r="K10" s="705" t="s">
        <v>592</v>
      </c>
      <c r="L10" s="595" t="s">
        <v>527</v>
      </c>
      <c r="M10" s="595" t="s">
        <v>528</v>
      </c>
      <c r="N10" s="595" t="s">
        <v>529</v>
      </c>
      <c r="O10" s="595" t="s">
        <v>530</v>
      </c>
      <c r="P10" s="595" t="s">
        <v>531</v>
      </c>
    </row>
    <row r="11" spans="2:16" ht="18" customHeight="1" x14ac:dyDescent="0.2">
      <c r="B11" s="606" t="s">
        <v>113</v>
      </c>
      <c r="C11" s="607" t="str">
        <f ca="1">CELL("adresse",Daten!$M$83)</f>
        <v>'[A3_MWB-Foerderrechner_LBV.xlsm]Daten'!$M$83</v>
      </c>
      <c r="D11" s="608">
        <f ca="1">LEN(C11)</f>
        <v>45</v>
      </c>
      <c r="E11" s="608">
        <f ca="1">FIND("]",C11)</f>
        <v>33</v>
      </c>
      <c r="F11" s="608">
        <f ca="1">FIND("!",C11)</f>
        <v>40</v>
      </c>
      <c r="G11" s="607" t="str">
        <f ca="1">MID(C11,E11+1,F11-E11-2)</f>
        <v>Daten</v>
      </c>
      <c r="H11" s="608" t="str">
        <f ca="1">MID(C11,FIND("!",C11)+1,D11-F11)</f>
        <v>$M$83</v>
      </c>
      <c r="I11" s="608" t="b">
        <v>0</v>
      </c>
      <c r="J11" s="608" t="b">
        <v>1</v>
      </c>
      <c r="K11" s="709">
        <f>IF(Daten!M83="","-",Daten!M83)</f>
        <v>3</v>
      </c>
      <c r="L11" s="617"/>
      <c r="M11" s="617"/>
      <c r="N11" s="617"/>
      <c r="O11" s="617"/>
      <c r="P11" s="617"/>
    </row>
    <row r="12" spans="2:16" ht="18" customHeight="1" x14ac:dyDescent="0.2">
      <c r="B12" s="606" t="s">
        <v>682</v>
      </c>
      <c r="C12" s="607"/>
      <c r="D12" s="608"/>
      <c r="E12" s="608"/>
      <c r="F12" s="608"/>
      <c r="G12" s="607"/>
      <c r="H12" s="608"/>
      <c r="I12" s="608"/>
      <c r="J12" s="608"/>
      <c r="K12" s="709"/>
      <c r="L12" s="810"/>
      <c r="M12" s="810"/>
      <c r="N12" s="810"/>
      <c r="O12" s="810"/>
      <c r="P12" s="810"/>
    </row>
    <row r="13" spans="2:16" ht="18" customHeight="1" x14ac:dyDescent="0.2">
      <c r="B13" s="583" t="s">
        <v>518</v>
      </c>
      <c r="C13" s="609" t="str">
        <f ca="1">CELL("adresse",Berechnung!V15)</f>
        <v>'[A3_MWB-Foerderrechner_LBV.xlsm]Berechnung'!$V$15</v>
      </c>
      <c r="D13" s="610">
        <f t="shared" ref="D13:D46" ca="1" si="0">LEN(C13)</f>
        <v>50</v>
      </c>
      <c r="E13" s="610">
        <f t="shared" ref="E13:E37" ca="1" si="1">FIND("]",C13)</f>
        <v>33</v>
      </c>
      <c r="F13" s="610">
        <f t="shared" ref="F13:F37" ca="1" si="2">FIND("!",C13)</f>
        <v>45</v>
      </c>
      <c r="G13" s="609" t="str">
        <f t="shared" ref="G13:G37" ca="1" si="3">MID(C13,E13+1,F13-E13-2)</f>
        <v>Berechnung</v>
      </c>
      <c r="H13" s="610" t="str">
        <f t="shared" ref="H13:H37" ca="1" si="4">MID(C13,FIND("!",C13)+1,D13-F13)</f>
        <v>$V$15</v>
      </c>
      <c r="I13" s="608" t="b">
        <v>0</v>
      </c>
      <c r="J13" s="608" t="b">
        <v>1</v>
      </c>
      <c r="K13" s="710" t="str">
        <f>IF(Berechnung!V15="","-",Berechnung!V15)</f>
        <v>-</v>
      </c>
      <c r="L13" s="618"/>
      <c r="M13" s="618"/>
      <c r="N13" s="618"/>
      <c r="O13" s="618"/>
      <c r="P13" s="618"/>
    </row>
    <row r="14" spans="2:16" ht="60" customHeight="1" x14ac:dyDescent="0.2">
      <c r="B14" s="611" t="s">
        <v>136</v>
      </c>
      <c r="C14" s="612" t="str">
        <f ca="1">CELL("adresse",Berechnung!$G$14)</f>
        <v>'[A3_MWB-Foerderrechner_LBV.xlsm]Berechnung'!$G$14</v>
      </c>
      <c r="D14" s="613">
        <f t="shared" ca="1" si="0"/>
        <v>50</v>
      </c>
      <c r="E14" s="613">
        <f t="shared" ca="1" si="1"/>
        <v>33</v>
      </c>
      <c r="F14" s="613">
        <f t="shared" ca="1" si="2"/>
        <v>45</v>
      </c>
      <c r="G14" s="612" t="str">
        <f t="shared" ca="1" si="3"/>
        <v>Berechnung</v>
      </c>
      <c r="H14" s="613" t="str">
        <f t="shared" ca="1" si="4"/>
        <v>$G$14</v>
      </c>
      <c r="I14" s="614" t="b">
        <v>0</v>
      </c>
      <c r="J14" s="614" t="b">
        <v>1</v>
      </c>
      <c r="K14" s="711" t="str">
        <f>IF(Berechnung!G14="","-",Berechnung!G14)</f>
        <v>-</v>
      </c>
      <c r="L14" s="619"/>
      <c r="M14" s="619"/>
      <c r="N14" s="619"/>
      <c r="O14" s="619"/>
      <c r="P14" s="619"/>
    </row>
    <row r="15" spans="2:16" ht="60" customHeight="1" x14ac:dyDescent="0.2">
      <c r="B15" s="611" t="s">
        <v>1</v>
      </c>
      <c r="C15" s="612" t="str">
        <f ca="1">CELL("adresse",Berechnung!$G$15)</f>
        <v>'[A3_MWB-Foerderrechner_LBV.xlsm]Berechnung'!$G$15</v>
      </c>
      <c r="D15" s="613">
        <f t="shared" ca="1" si="0"/>
        <v>50</v>
      </c>
      <c r="E15" s="613">
        <f t="shared" ca="1" si="1"/>
        <v>33</v>
      </c>
      <c r="F15" s="613">
        <f t="shared" ca="1" si="2"/>
        <v>45</v>
      </c>
      <c r="G15" s="612" t="str">
        <f t="shared" ca="1" si="3"/>
        <v>Berechnung</v>
      </c>
      <c r="H15" s="613" t="str">
        <f t="shared" ca="1" si="4"/>
        <v>$G$15</v>
      </c>
      <c r="I15" s="614" t="b">
        <v>0</v>
      </c>
      <c r="J15" s="614" t="b">
        <v>1</v>
      </c>
      <c r="K15" s="711" t="str">
        <f>IF(Berechnung!G15="","-",Berechnung!G15)</f>
        <v>-</v>
      </c>
      <c r="L15" s="619"/>
      <c r="M15" s="619"/>
      <c r="N15" s="619"/>
      <c r="O15" s="619"/>
      <c r="P15" s="619"/>
    </row>
    <row r="16" spans="2:16" ht="18" customHeight="1" x14ac:dyDescent="0.2">
      <c r="B16" s="583" t="s">
        <v>323</v>
      </c>
      <c r="C16" s="609" t="str">
        <f ca="1">CELL("adresse",Berechnung!$K$17)</f>
        <v>'[A3_MWB-Foerderrechner_LBV.xlsm]Berechnung'!$K$17</v>
      </c>
      <c r="D16" s="610">
        <f t="shared" ca="1" si="0"/>
        <v>50</v>
      </c>
      <c r="E16" s="610">
        <f t="shared" ca="1" si="1"/>
        <v>33</v>
      </c>
      <c r="F16" s="610">
        <f t="shared" ca="1" si="2"/>
        <v>45</v>
      </c>
      <c r="G16" s="609" t="str">
        <f t="shared" ca="1" si="3"/>
        <v>Berechnung</v>
      </c>
      <c r="H16" s="610" t="str">
        <f t="shared" ca="1" si="4"/>
        <v>$K$17</v>
      </c>
      <c r="I16" s="608" t="b">
        <v>0</v>
      </c>
      <c r="J16" s="608" t="b">
        <v>1</v>
      </c>
      <c r="K16" s="710" t="str">
        <f>IF(Berechnung!K17="","-",Berechnung!K17)</f>
        <v>-</v>
      </c>
      <c r="L16" s="618"/>
      <c r="M16" s="618"/>
      <c r="N16" s="618"/>
      <c r="O16" s="618"/>
      <c r="P16" s="618"/>
    </row>
    <row r="17" spans="2:16" ht="18" customHeight="1" x14ac:dyDescent="0.2">
      <c r="B17" s="583" t="s">
        <v>4</v>
      </c>
      <c r="C17" s="609" t="str">
        <f ca="1">CELL("adresse",Berechnung!$K$18)</f>
        <v>'[A3_MWB-Foerderrechner_LBV.xlsm]Berechnung'!$K$18</v>
      </c>
      <c r="D17" s="610">
        <f t="shared" ca="1" si="0"/>
        <v>50</v>
      </c>
      <c r="E17" s="610">
        <f t="shared" ca="1" si="1"/>
        <v>33</v>
      </c>
      <c r="F17" s="610">
        <f t="shared" ca="1" si="2"/>
        <v>45</v>
      </c>
      <c r="G17" s="609" t="str">
        <f t="shared" ca="1" si="3"/>
        <v>Berechnung</v>
      </c>
      <c r="H17" s="610" t="str">
        <f t="shared" ca="1" si="4"/>
        <v>$K$18</v>
      </c>
      <c r="I17" s="608" t="b">
        <v>0</v>
      </c>
      <c r="J17" s="608" t="b">
        <v>1</v>
      </c>
      <c r="K17" s="712" t="str">
        <f>IF(Berechnung!K18="","-",Berechnung!K18)</f>
        <v>-</v>
      </c>
      <c r="L17" s="620"/>
      <c r="M17" s="620"/>
      <c r="N17" s="620"/>
      <c r="O17" s="620"/>
      <c r="P17" s="620"/>
    </row>
    <row r="18" spans="2:16" ht="18" customHeight="1" x14ac:dyDescent="0.2">
      <c r="B18" s="583" t="s">
        <v>0</v>
      </c>
      <c r="C18" s="609" t="str">
        <f ca="1">CELL("adresse",Berechnung!$K$19)</f>
        <v>'[A3_MWB-Foerderrechner_LBV.xlsm]Berechnung'!$K$19</v>
      </c>
      <c r="D18" s="610">
        <f t="shared" ca="1" si="0"/>
        <v>50</v>
      </c>
      <c r="E18" s="610">
        <f t="shared" ca="1" si="1"/>
        <v>33</v>
      </c>
      <c r="F18" s="610">
        <f t="shared" ca="1" si="2"/>
        <v>45</v>
      </c>
      <c r="G18" s="609" t="str">
        <f t="shared" ca="1" si="3"/>
        <v>Berechnung</v>
      </c>
      <c r="H18" s="610" t="str">
        <f t="shared" ca="1" si="4"/>
        <v>$K$19</v>
      </c>
      <c r="I18" s="608" t="b">
        <v>0</v>
      </c>
      <c r="J18" s="608" t="b">
        <v>1</v>
      </c>
      <c r="K18" s="713" t="str">
        <f>IF(Berechnung!K19="","-",Berechnung!K19)</f>
        <v>-</v>
      </c>
      <c r="L18" s="622"/>
      <c r="M18" s="622"/>
      <c r="N18" s="622"/>
      <c r="O18" s="622"/>
      <c r="P18" s="622"/>
    </row>
    <row r="19" spans="2:16" ht="18" customHeight="1" x14ac:dyDescent="0.2">
      <c r="B19" s="583" t="s">
        <v>10</v>
      </c>
      <c r="C19" s="609" t="str">
        <f ca="1">CELL("adresse",Berechnung!$K$20)</f>
        <v>'[A3_MWB-Foerderrechner_LBV.xlsm]Berechnung'!$K$20</v>
      </c>
      <c r="D19" s="610">
        <f t="shared" ca="1" si="0"/>
        <v>50</v>
      </c>
      <c r="E19" s="610">
        <f t="shared" ca="1" si="1"/>
        <v>33</v>
      </c>
      <c r="F19" s="610">
        <f t="shared" ca="1" si="2"/>
        <v>45</v>
      </c>
      <c r="G19" s="609" t="str">
        <f t="shared" ca="1" si="3"/>
        <v>Berechnung</v>
      </c>
      <c r="H19" s="610" t="str">
        <f t="shared" ca="1" si="4"/>
        <v>$K$20</v>
      </c>
      <c r="I19" s="608" t="b">
        <v>0</v>
      </c>
      <c r="J19" s="608" t="b">
        <v>1</v>
      </c>
      <c r="K19" s="713" t="str">
        <f>IF(Berechnung!K20="","-",Berechnung!K20)</f>
        <v>-</v>
      </c>
      <c r="L19" s="622"/>
      <c r="M19" s="622"/>
      <c r="N19" s="622"/>
      <c r="O19" s="622"/>
      <c r="P19" s="622"/>
    </row>
    <row r="20" spans="2:16" ht="18" customHeight="1" x14ac:dyDescent="0.2">
      <c r="B20" s="583" t="s">
        <v>310</v>
      </c>
      <c r="C20" s="609" t="str">
        <f ca="1">CELL("adresse",Berechnung!$K$21)</f>
        <v>'[A3_MWB-Foerderrechner_LBV.xlsm]Berechnung'!$K$21</v>
      </c>
      <c r="D20" s="610">
        <f t="shared" ca="1" si="0"/>
        <v>50</v>
      </c>
      <c r="E20" s="610">
        <f t="shared" ca="1" si="1"/>
        <v>33</v>
      </c>
      <c r="F20" s="610">
        <f t="shared" ca="1" si="2"/>
        <v>45</v>
      </c>
      <c r="G20" s="609" t="str">
        <f t="shared" ca="1" si="3"/>
        <v>Berechnung</v>
      </c>
      <c r="H20" s="610" t="str">
        <f t="shared" ca="1" si="4"/>
        <v>$K$21</v>
      </c>
      <c r="I20" s="608" t="b">
        <v>0</v>
      </c>
      <c r="J20" s="608" t="b">
        <v>1</v>
      </c>
      <c r="K20" s="710" t="str">
        <f>IF(Berechnung!K21="","-",Berechnung!K21)</f>
        <v>-</v>
      </c>
      <c r="L20" s="618"/>
      <c r="M20" s="618"/>
      <c r="N20" s="618"/>
      <c r="O20" s="618"/>
      <c r="P20" s="618"/>
    </row>
    <row r="21" spans="2:16" ht="18" customHeight="1" x14ac:dyDescent="0.2">
      <c r="B21" s="657" t="s">
        <v>694</v>
      </c>
      <c r="C21" s="609" t="str">
        <f ca="1">CELL("adresse",Berechnung!$K$22)</f>
        <v>'[A3_MWB-Foerderrechner_LBV.xlsm]Berechnung'!$K$22</v>
      </c>
      <c r="D21" s="610">
        <f t="shared" ref="D21" ca="1" si="5">LEN(C21)</f>
        <v>50</v>
      </c>
      <c r="E21" s="610">
        <f t="shared" ref="E21" ca="1" si="6">FIND("]",C21)</f>
        <v>33</v>
      </c>
      <c r="F21" s="610">
        <f t="shared" ref="F21" ca="1" si="7">FIND("!",C21)</f>
        <v>45</v>
      </c>
      <c r="G21" s="609" t="str">
        <f t="shared" ref="G21" ca="1" si="8">MID(C21,E21+1,F21-E21-2)</f>
        <v>Berechnung</v>
      </c>
      <c r="H21" s="610" t="str">
        <f t="shared" ref="H21" ca="1" si="9">MID(C21,FIND("!",C21)+1,D21-F21)</f>
        <v>$K$22</v>
      </c>
      <c r="I21" s="608" t="b">
        <v>0</v>
      </c>
      <c r="J21" s="608" t="b">
        <v>1</v>
      </c>
      <c r="K21" s="710" t="str">
        <f>IF(Berechnung!K22="","-",Berechnung!K22)</f>
        <v>-</v>
      </c>
      <c r="L21" s="659"/>
      <c r="M21" s="659"/>
      <c r="N21" s="659"/>
      <c r="O21" s="659"/>
      <c r="P21" s="659"/>
    </row>
    <row r="22" spans="2:16" ht="18" customHeight="1" x14ac:dyDescent="0.2">
      <c r="B22" s="818" t="s">
        <v>693</v>
      </c>
      <c r="C22" s="609" t="str">
        <f ca="1">CELL("adresse",Berechnung!$Q$22)</f>
        <v>'[A3_MWB-Foerderrechner_LBV.xlsm]Berechnung'!$Q$22</v>
      </c>
      <c r="D22" s="610">
        <f t="shared" ref="D22" ca="1" si="10">LEN(C22)</f>
        <v>50</v>
      </c>
      <c r="E22" s="610">
        <f t="shared" ref="E22" ca="1" si="11">FIND("]",C22)</f>
        <v>33</v>
      </c>
      <c r="F22" s="610">
        <f t="shared" ref="F22" ca="1" si="12">FIND("!",C22)</f>
        <v>45</v>
      </c>
      <c r="G22" s="609" t="str">
        <f t="shared" ref="G22" ca="1" si="13">MID(C22,E22+1,F22-E22-2)</f>
        <v>Berechnung</v>
      </c>
      <c r="H22" s="610" t="str">
        <f t="shared" ref="H22" ca="1" si="14">MID(C22,FIND("!",C22)+1,D22-F22)</f>
        <v>$Q$22</v>
      </c>
      <c r="I22" s="608" t="b">
        <v>0</v>
      </c>
      <c r="J22" s="608" t="b">
        <v>1</v>
      </c>
      <c r="K22" s="710" t="str">
        <f>IF(Berechnung!Q22="","-",Berechnung!Q22)</f>
        <v>-</v>
      </c>
      <c r="L22" s="819"/>
      <c r="M22" s="819"/>
      <c r="N22" s="819"/>
      <c r="O22" s="819"/>
      <c r="P22" s="819"/>
    </row>
    <row r="23" spans="2:16" ht="18" customHeight="1" x14ac:dyDescent="0.2">
      <c r="B23" s="1002" t="s">
        <v>817</v>
      </c>
      <c r="C23" s="609" t="str">
        <f ca="1">CELL("adresse",Berechnung!$O$21)</f>
        <v>'[A3_MWB-Foerderrechner_LBV.xlsm]Berechnung'!$O$21</v>
      </c>
      <c r="D23" s="610">
        <f t="shared" ref="D23:D24" ca="1" si="15">LEN(C23)</f>
        <v>50</v>
      </c>
      <c r="E23" s="610">
        <f t="shared" ref="E23:E24" ca="1" si="16">FIND("]",C23)</f>
        <v>33</v>
      </c>
      <c r="F23" s="610">
        <f t="shared" ref="F23:F24" ca="1" si="17">FIND("!",C23)</f>
        <v>45</v>
      </c>
      <c r="G23" s="609" t="str">
        <f t="shared" ref="G23:G24" ca="1" si="18">MID(C23,E23+1,F23-E23-2)</f>
        <v>Berechnung</v>
      </c>
      <c r="H23" s="610" t="str">
        <f t="shared" ref="H23:H24" ca="1" si="19">MID(C23,FIND("!",C23)+1,D23-F23)</f>
        <v>$O$21</v>
      </c>
      <c r="I23" s="608" t="b">
        <v>0</v>
      </c>
      <c r="J23" s="608" t="b">
        <v>1</v>
      </c>
      <c r="K23" s="715">
        <f>IF(Berechnung!O21="","-",Berechnung!O21)</f>
        <v>45</v>
      </c>
      <c r="L23" s="1033"/>
      <c r="M23" s="1033"/>
      <c r="N23" s="1033"/>
      <c r="O23" s="1033"/>
      <c r="P23" s="1033"/>
    </row>
    <row r="24" spans="2:16" ht="18" customHeight="1" x14ac:dyDescent="0.2">
      <c r="B24" s="1002" t="s">
        <v>818</v>
      </c>
      <c r="C24" s="609" t="str">
        <f ca="1">CELL("adresse",Berechnung!$S$21)</f>
        <v>'[A3_MWB-Foerderrechner_LBV.xlsm]Berechnung'!$S$21</v>
      </c>
      <c r="D24" s="610">
        <f t="shared" ca="1" si="15"/>
        <v>50</v>
      </c>
      <c r="E24" s="610">
        <f t="shared" ca="1" si="16"/>
        <v>33</v>
      </c>
      <c r="F24" s="610">
        <f t="shared" ca="1" si="17"/>
        <v>45</v>
      </c>
      <c r="G24" s="609" t="str">
        <f t="shared" ca="1" si="18"/>
        <v>Berechnung</v>
      </c>
      <c r="H24" s="610" t="str">
        <f t="shared" ca="1" si="19"/>
        <v>$S$21</v>
      </c>
      <c r="I24" s="608" t="b">
        <v>0</v>
      </c>
      <c r="J24" s="608" t="b">
        <v>1</v>
      </c>
      <c r="K24" s="715">
        <f>IF(Berechnung!S21="","-",Berechnung!S21)</f>
        <v>30</v>
      </c>
      <c r="L24" s="1033"/>
      <c r="M24" s="1033"/>
      <c r="N24" s="1033"/>
      <c r="O24" s="1033"/>
      <c r="P24" s="1033"/>
    </row>
    <row r="25" spans="2:16" ht="18" customHeight="1" x14ac:dyDescent="0.2">
      <c r="B25" s="583" t="s">
        <v>519</v>
      </c>
      <c r="C25" s="609" t="str">
        <f ca="1">CELL("adresse",Berechnung!$J$27)</f>
        <v>'[A3_MWB-Foerderrechner_LBV.xlsm]Berechnung'!$J$27</v>
      </c>
      <c r="D25" s="610">
        <f t="shared" ca="1" si="0"/>
        <v>50</v>
      </c>
      <c r="E25" s="610">
        <f t="shared" ca="1" si="1"/>
        <v>33</v>
      </c>
      <c r="F25" s="610">
        <f t="shared" ca="1" si="2"/>
        <v>45</v>
      </c>
      <c r="G25" s="609" t="str">
        <f t="shared" ca="1" si="3"/>
        <v>Berechnung</v>
      </c>
      <c r="H25" s="610" t="str">
        <f t="shared" ca="1" si="4"/>
        <v>$J$27</v>
      </c>
      <c r="I25" s="608" t="b">
        <v>0</v>
      </c>
      <c r="J25" s="608" t="b">
        <v>1</v>
      </c>
      <c r="K25" s="712" t="str">
        <f>IF(Berechnung!J27="","-",Berechnung!J27)</f>
        <v>-</v>
      </c>
      <c r="L25" s="620"/>
      <c r="M25" s="620"/>
      <c r="N25" s="620"/>
      <c r="O25" s="620"/>
      <c r="P25" s="620"/>
    </row>
    <row r="26" spans="2:16" ht="18" customHeight="1" x14ac:dyDescent="0.2">
      <c r="B26" s="583" t="s">
        <v>520</v>
      </c>
      <c r="C26" s="609" t="str">
        <f ca="1">CELL("adresse",Berechnung!$J$28)</f>
        <v>'[A3_MWB-Foerderrechner_LBV.xlsm]Berechnung'!$J$28</v>
      </c>
      <c r="D26" s="610">
        <f t="shared" ca="1" si="0"/>
        <v>50</v>
      </c>
      <c r="E26" s="610">
        <f t="shared" ca="1" si="1"/>
        <v>33</v>
      </c>
      <c r="F26" s="610">
        <f t="shared" ca="1" si="2"/>
        <v>45</v>
      </c>
      <c r="G26" s="609" t="str">
        <f t="shared" ca="1" si="3"/>
        <v>Berechnung</v>
      </c>
      <c r="H26" s="610" t="str">
        <f t="shared" ca="1" si="4"/>
        <v>$J$28</v>
      </c>
      <c r="I26" s="608" t="b">
        <v>0</v>
      </c>
      <c r="J26" s="608" t="b">
        <v>1</v>
      </c>
      <c r="K26" s="712" t="str">
        <f>IF(Berechnung!J28="","-",Berechnung!J28)</f>
        <v>-</v>
      </c>
      <c r="L26" s="620"/>
      <c r="M26" s="620"/>
      <c r="N26" s="620"/>
      <c r="O26" s="620"/>
      <c r="P26" s="620"/>
    </row>
    <row r="27" spans="2:16" ht="18" customHeight="1" x14ac:dyDescent="0.2">
      <c r="B27" s="583" t="s">
        <v>521</v>
      </c>
      <c r="C27" s="609" t="str">
        <f ca="1">CELL("adresse",Berechnung!$J$29)</f>
        <v>'[A3_MWB-Foerderrechner_LBV.xlsm]Berechnung'!$J$29</v>
      </c>
      <c r="D27" s="610">
        <f t="shared" ca="1" si="0"/>
        <v>50</v>
      </c>
      <c r="E27" s="610">
        <f t="shared" ca="1" si="1"/>
        <v>33</v>
      </c>
      <c r="F27" s="610">
        <f t="shared" ca="1" si="2"/>
        <v>45</v>
      </c>
      <c r="G27" s="609" t="str">
        <f t="shared" ca="1" si="3"/>
        <v>Berechnung</v>
      </c>
      <c r="H27" s="610" t="str">
        <f t="shared" ca="1" si="4"/>
        <v>$J$29</v>
      </c>
      <c r="I27" s="608" t="b">
        <v>0</v>
      </c>
      <c r="J27" s="608" t="b">
        <v>1</v>
      </c>
      <c r="K27" s="712" t="str">
        <f>IF(Berechnung!J29="","-",Berechnung!J29)</f>
        <v>-</v>
      </c>
      <c r="L27" s="620"/>
      <c r="M27" s="620"/>
      <c r="N27" s="620"/>
      <c r="O27" s="620"/>
      <c r="P27" s="620"/>
    </row>
    <row r="28" spans="2:16" ht="18" customHeight="1" x14ac:dyDescent="0.2">
      <c r="B28" s="583" t="s">
        <v>522</v>
      </c>
      <c r="C28" s="609" t="str">
        <f ca="1">CELL("adresse",Berechnung!L27)</f>
        <v>'[A3_MWB-Foerderrechner_LBV.xlsm]Berechnung'!$L$27</v>
      </c>
      <c r="D28" s="610">
        <f t="shared" ca="1" si="0"/>
        <v>50</v>
      </c>
      <c r="E28" s="610">
        <f t="shared" ref="E28:E30" ca="1" si="20">FIND("]",C28)</f>
        <v>33</v>
      </c>
      <c r="F28" s="610">
        <f t="shared" ref="F28:F30" ca="1" si="21">FIND("!",C28)</f>
        <v>45</v>
      </c>
      <c r="G28" s="609" t="str">
        <f t="shared" ref="G28:G30" ca="1" si="22">MID(C28,E28+1,F28-E28-2)</f>
        <v>Berechnung</v>
      </c>
      <c r="H28" s="610" t="str">
        <f t="shared" ref="H28:H30" ca="1" si="23">MID(C28,FIND("!",C28)+1,D28-F28)</f>
        <v>$L$27</v>
      </c>
      <c r="I28" s="608" t="b">
        <v>0</v>
      </c>
      <c r="J28" s="608" t="b">
        <v>1</v>
      </c>
      <c r="K28" s="713" t="str">
        <f>IF(Berechnung!L27="","-",Berechnung!L27)</f>
        <v>-</v>
      </c>
      <c r="L28" s="622"/>
      <c r="M28" s="622"/>
      <c r="N28" s="622"/>
      <c r="O28" s="622"/>
      <c r="P28" s="622"/>
    </row>
    <row r="29" spans="2:16" ht="18" customHeight="1" x14ac:dyDescent="0.2">
      <c r="B29" s="583" t="s">
        <v>523</v>
      </c>
      <c r="C29" s="609" t="str">
        <f ca="1">CELL("adresse",Berechnung!L28)</f>
        <v>'[A3_MWB-Foerderrechner_LBV.xlsm]Berechnung'!$L$28</v>
      </c>
      <c r="D29" s="610">
        <f t="shared" ca="1" si="0"/>
        <v>50</v>
      </c>
      <c r="E29" s="610">
        <f t="shared" ca="1" si="20"/>
        <v>33</v>
      </c>
      <c r="F29" s="610">
        <f t="shared" ca="1" si="21"/>
        <v>45</v>
      </c>
      <c r="G29" s="609" t="str">
        <f t="shared" ca="1" si="22"/>
        <v>Berechnung</v>
      </c>
      <c r="H29" s="610" t="str">
        <f t="shared" ca="1" si="23"/>
        <v>$L$28</v>
      </c>
      <c r="I29" s="608" t="b">
        <v>0</v>
      </c>
      <c r="J29" s="608" t="b">
        <v>1</v>
      </c>
      <c r="K29" s="713" t="str">
        <f>IF(Berechnung!L28="","-",Berechnung!L28)</f>
        <v>-</v>
      </c>
      <c r="L29" s="622"/>
      <c r="M29" s="622"/>
      <c r="N29" s="622"/>
      <c r="O29" s="622"/>
      <c r="P29" s="622"/>
    </row>
    <row r="30" spans="2:16" ht="18" customHeight="1" x14ac:dyDescent="0.2">
      <c r="B30" s="583" t="s">
        <v>524</v>
      </c>
      <c r="C30" s="609" t="str">
        <f ca="1">CELL("adresse",Berechnung!L29)</f>
        <v>'[A3_MWB-Foerderrechner_LBV.xlsm]Berechnung'!$L$29</v>
      </c>
      <c r="D30" s="610">
        <f t="shared" ca="1" si="0"/>
        <v>50</v>
      </c>
      <c r="E30" s="610">
        <f t="shared" ca="1" si="20"/>
        <v>33</v>
      </c>
      <c r="F30" s="610">
        <f t="shared" ca="1" si="21"/>
        <v>45</v>
      </c>
      <c r="G30" s="609" t="str">
        <f t="shared" ca="1" si="22"/>
        <v>Berechnung</v>
      </c>
      <c r="H30" s="610" t="str">
        <f t="shared" ca="1" si="23"/>
        <v>$L$29</v>
      </c>
      <c r="I30" s="608" t="b">
        <v>0</v>
      </c>
      <c r="J30" s="608" t="b">
        <v>1</v>
      </c>
      <c r="K30" s="713" t="str">
        <f>IF(Berechnung!L29="","-",Berechnung!L29)</f>
        <v>-</v>
      </c>
      <c r="L30" s="622"/>
      <c r="M30" s="622"/>
      <c r="N30" s="622"/>
      <c r="O30" s="622"/>
      <c r="P30" s="622"/>
    </row>
    <row r="31" spans="2:16" ht="18" customHeight="1" x14ac:dyDescent="0.2">
      <c r="B31" s="583" t="s">
        <v>306</v>
      </c>
      <c r="C31" s="609" t="str">
        <f ca="1">CELL("adresse",Berechnung!$J$34)</f>
        <v>'[A3_MWB-Foerderrechner_LBV.xlsm]Berechnung'!$J$34</v>
      </c>
      <c r="D31" s="610">
        <f t="shared" ca="1" si="0"/>
        <v>50</v>
      </c>
      <c r="E31" s="610">
        <f t="shared" ca="1" si="1"/>
        <v>33</v>
      </c>
      <c r="F31" s="610">
        <f t="shared" ca="1" si="2"/>
        <v>45</v>
      </c>
      <c r="G31" s="609" t="str">
        <f t="shared" ca="1" si="3"/>
        <v>Berechnung</v>
      </c>
      <c r="H31" s="610" t="str">
        <f t="shared" ca="1" si="4"/>
        <v>$J$34</v>
      </c>
      <c r="I31" s="608" t="b">
        <v>0</v>
      </c>
      <c r="J31" s="608" t="b">
        <v>1</v>
      </c>
      <c r="K31" s="712" t="str">
        <f>IF(Berechnung!J34="","-",Berechnung!J34)</f>
        <v>-</v>
      </c>
      <c r="L31" s="620"/>
      <c r="M31" s="620"/>
      <c r="N31" s="620"/>
      <c r="O31" s="620"/>
      <c r="P31" s="620"/>
    </row>
    <row r="32" spans="2:16" ht="18" customHeight="1" x14ac:dyDescent="0.2">
      <c r="B32" s="583" t="s">
        <v>311</v>
      </c>
      <c r="C32" s="609" t="str">
        <f ca="1">CELL("adresse",Berechnung!$J$35)</f>
        <v>'[A3_MWB-Foerderrechner_LBV.xlsm]Berechnung'!$J$35</v>
      </c>
      <c r="D32" s="610">
        <f t="shared" ca="1" si="0"/>
        <v>50</v>
      </c>
      <c r="E32" s="610">
        <f t="shared" ca="1" si="1"/>
        <v>33</v>
      </c>
      <c r="F32" s="610">
        <f t="shared" ca="1" si="2"/>
        <v>45</v>
      </c>
      <c r="G32" s="609" t="str">
        <f t="shared" ca="1" si="3"/>
        <v>Berechnung</v>
      </c>
      <c r="H32" s="610" t="str">
        <f t="shared" ca="1" si="4"/>
        <v>$J$35</v>
      </c>
      <c r="I32" s="608" t="b">
        <v>0</v>
      </c>
      <c r="J32" s="608" t="b">
        <v>1</v>
      </c>
      <c r="K32" s="712" t="str">
        <f>IF(Berechnung!J35="","-",Berechnung!J35)</f>
        <v>-</v>
      </c>
      <c r="L32" s="620"/>
      <c r="M32" s="620"/>
      <c r="N32" s="620"/>
      <c r="O32" s="620"/>
      <c r="P32" s="620"/>
    </row>
    <row r="33" spans="2:16" ht="18" customHeight="1" x14ac:dyDescent="0.2">
      <c r="B33" s="762" t="s">
        <v>664</v>
      </c>
      <c r="C33" s="609" t="str">
        <f ca="1">CELL("adresse",Berechnung!$L$34)</f>
        <v>'[A3_MWB-Foerderrechner_LBV.xlsm]Berechnung'!$L$34</v>
      </c>
      <c r="D33" s="610">
        <f t="shared" ref="D33:D34" ca="1" si="24">LEN(C33)</f>
        <v>50</v>
      </c>
      <c r="E33" s="610">
        <f t="shared" ref="E33:E34" ca="1" si="25">FIND("]",C33)</f>
        <v>33</v>
      </c>
      <c r="F33" s="610">
        <f t="shared" ref="F33:F34" ca="1" si="26">FIND("!",C33)</f>
        <v>45</v>
      </c>
      <c r="G33" s="609" t="str">
        <f t="shared" ref="G33:G34" ca="1" si="27">MID(C33,E33+1,F33-E33-2)</f>
        <v>Berechnung</v>
      </c>
      <c r="H33" s="610" t="str">
        <f t="shared" ref="H33:H34" ca="1" si="28">MID(C33,FIND("!",C33)+1,D33-F33)</f>
        <v>$L$34</v>
      </c>
      <c r="I33" s="608" t="b">
        <v>0</v>
      </c>
      <c r="J33" s="608" t="b">
        <v>1</v>
      </c>
      <c r="K33" s="713" t="str">
        <f>IF(Berechnung!L34="","-",Berechnung!L34)</f>
        <v>-</v>
      </c>
      <c r="L33" s="764"/>
      <c r="M33" s="764"/>
      <c r="N33" s="764"/>
      <c r="O33" s="764"/>
      <c r="P33" s="764"/>
    </row>
    <row r="34" spans="2:16" ht="18" customHeight="1" x14ac:dyDescent="0.2">
      <c r="B34" s="762" t="s">
        <v>665</v>
      </c>
      <c r="C34" s="609" t="str">
        <f ca="1">CELL("adresse",Berechnung!$L$35)</f>
        <v>'[A3_MWB-Foerderrechner_LBV.xlsm]Berechnung'!$L$35</v>
      </c>
      <c r="D34" s="610">
        <f t="shared" ca="1" si="24"/>
        <v>50</v>
      </c>
      <c r="E34" s="610">
        <f t="shared" ca="1" si="25"/>
        <v>33</v>
      </c>
      <c r="F34" s="610">
        <f t="shared" ca="1" si="26"/>
        <v>45</v>
      </c>
      <c r="G34" s="609" t="str">
        <f t="shared" ca="1" si="27"/>
        <v>Berechnung</v>
      </c>
      <c r="H34" s="610" t="str">
        <f t="shared" ca="1" si="28"/>
        <v>$L$35</v>
      </c>
      <c r="I34" s="608" t="b">
        <v>0</v>
      </c>
      <c r="J34" s="608" t="b">
        <v>1</v>
      </c>
      <c r="K34" s="713" t="str">
        <f>IF(Berechnung!L35="","-",Berechnung!L35)</f>
        <v>-</v>
      </c>
      <c r="L34" s="764"/>
      <c r="M34" s="764"/>
      <c r="N34" s="764"/>
      <c r="O34" s="764"/>
      <c r="P34" s="764"/>
    </row>
    <row r="35" spans="2:16" ht="18" customHeight="1" x14ac:dyDescent="0.2">
      <c r="B35" s="583" t="s">
        <v>88</v>
      </c>
      <c r="C35" s="609" t="str">
        <f ca="1">CELL("adresse",Berechnung!V27)</f>
        <v>'[A3_MWB-Foerderrechner_LBV.xlsm]Berechnung'!$V$27</v>
      </c>
      <c r="D35" s="610">
        <f t="shared" ca="1" si="0"/>
        <v>50</v>
      </c>
      <c r="E35" s="610">
        <f t="shared" ca="1" si="1"/>
        <v>33</v>
      </c>
      <c r="F35" s="610">
        <f t="shared" ca="1" si="2"/>
        <v>45</v>
      </c>
      <c r="G35" s="609" t="str">
        <f t="shared" ca="1" si="3"/>
        <v>Berechnung</v>
      </c>
      <c r="H35" s="610" t="str">
        <f t="shared" ca="1" si="4"/>
        <v>$V$27</v>
      </c>
      <c r="I35" s="608" t="b">
        <v>0</v>
      </c>
      <c r="J35" s="608" t="b">
        <v>1</v>
      </c>
      <c r="K35" s="714" t="str">
        <f>IF(Berechnung!V27="","-",Berechnung!V27)</f>
        <v>-</v>
      </c>
      <c r="L35" s="623"/>
      <c r="M35" s="623"/>
      <c r="N35" s="623"/>
      <c r="O35" s="623"/>
      <c r="P35" s="623"/>
    </row>
    <row r="36" spans="2:16" ht="18" customHeight="1" x14ac:dyDescent="0.2">
      <c r="B36" s="583" t="s">
        <v>89</v>
      </c>
      <c r="C36" s="609" t="str">
        <f ca="1">CELL("adresse",Berechnung!V28)</f>
        <v>'[A3_MWB-Foerderrechner_LBV.xlsm]Berechnung'!$V$28</v>
      </c>
      <c r="D36" s="610">
        <f t="shared" ca="1" si="0"/>
        <v>50</v>
      </c>
      <c r="E36" s="610">
        <f t="shared" ca="1" si="1"/>
        <v>33</v>
      </c>
      <c r="F36" s="610">
        <f t="shared" ca="1" si="2"/>
        <v>45</v>
      </c>
      <c r="G36" s="609" t="str">
        <f t="shared" ca="1" si="3"/>
        <v>Berechnung</v>
      </c>
      <c r="H36" s="610" t="str">
        <f t="shared" ca="1" si="4"/>
        <v>$V$28</v>
      </c>
      <c r="I36" s="608" t="b">
        <v>0</v>
      </c>
      <c r="J36" s="608" t="b">
        <v>1</v>
      </c>
      <c r="K36" s="714" t="str">
        <f>IF(Berechnung!V28="","-",Berechnung!V28)</f>
        <v>-</v>
      </c>
      <c r="L36" s="623"/>
      <c r="M36" s="623"/>
      <c r="N36" s="623"/>
      <c r="O36" s="623"/>
      <c r="P36" s="623"/>
    </row>
    <row r="37" spans="2:16" ht="18" customHeight="1" x14ac:dyDescent="0.2">
      <c r="B37" s="583" t="s">
        <v>90</v>
      </c>
      <c r="C37" s="609" t="str">
        <f ca="1">CELL("adresse",Berechnung!V29)</f>
        <v>'[A3_MWB-Foerderrechner_LBV.xlsm]Berechnung'!$V$29</v>
      </c>
      <c r="D37" s="610">
        <f t="shared" ca="1" si="0"/>
        <v>50</v>
      </c>
      <c r="E37" s="610">
        <f t="shared" ca="1" si="1"/>
        <v>33</v>
      </c>
      <c r="F37" s="610">
        <f t="shared" ca="1" si="2"/>
        <v>45</v>
      </c>
      <c r="G37" s="609" t="str">
        <f t="shared" ca="1" si="3"/>
        <v>Berechnung</v>
      </c>
      <c r="H37" s="610" t="str">
        <f t="shared" ca="1" si="4"/>
        <v>$V$29</v>
      </c>
      <c r="I37" s="608" t="b">
        <v>0</v>
      </c>
      <c r="J37" s="608" t="b">
        <v>1</v>
      </c>
      <c r="K37" s="714" t="str">
        <f>IF(Berechnung!V29="","-",Berechnung!V29)</f>
        <v>-</v>
      </c>
      <c r="L37" s="623"/>
      <c r="M37" s="623"/>
      <c r="N37" s="623"/>
      <c r="O37" s="623"/>
      <c r="P37" s="623"/>
    </row>
    <row r="38" spans="2:16" ht="18" customHeight="1" x14ac:dyDescent="0.2">
      <c r="B38" s="583" t="s">
        <v>37</v>
      </c>
      <c r="C38" s="609" t="str">
        <f ca="1">CELL("adresse",Berechnung!V31)</f>
        <v>'[A3_MWB-Foerderrechner_LBV.xlsm]Berechnung'!$V$31</v>
      </c>
      <c r="D38" s="610">
        <f t="shared" ca="1" si="0"/>
        <v>50</v>
      </c>
      <c r="E38" s="610">
        <f t="shared" ref="E38" ca="1" si="29">FIND("]",C38)</f>
        <v>33</v>
      </c>
      <c r="F38" s="610">
        <f t="shared" ref="F38" ca="1" si="30">FIND("!",C38)</f>
        <v>45</v>
      </c>
      <c r="G38" s="609" t="str">
        <f t="shared" ref="G38" ca="1" si="31">MID(C38,E38+1,F38-E38-2)</f>
        <v>Berechnung</v>
      </c>
      <c r="H38" s="610" t="str">
        <f t="shared" ref="H38" ca="1" si="32">MID(C38,FIND("!",C38)+1,D38-F38)</f>
        <v>$V$31</v>
      </c>
      <c r="I38" s="608" t="b">
        <v>0</v>
      </c>
      <c r="J38" s="608" t="b">
        <v>1</v>
      </c>
      <c r="K38" s="714" t="str">
        <f>IF(Berechnung!V31="","-",Berechnung!V31)</f>
        <v>-</v>
      </c>
      <c r="L38" s="623"/>
      <c r="M38" s="623"/>
      <c r="N38" s="623"/>
      <c r="O38" s="623"/>
      <c r="P38" s="623"/>
    </row>
    <row r="39" spans="2:16" ht="18" customHeight="1" x14ac:dyDescent="0.2">
      <c r="B39" s="583" t="s">
        <v>510</v>
      </c>
      <c r="C39" s="609" t="str">
        <f ca="1">CELL("adresse",Berechnung!I40)</f>
        <v>'[A3_MWB-Foerderrechner_LBV.xlsm]Berechnung'!$I$40</v>
      </c>
      <c r="D39" s="610">
        <f t="shared" ca="1" si="0"/>
        <v>50</v>
      </c>
      <c r="E39" s="610">
        <f t="shared" ref="E39:E42" ca="1" si="33">FIND("]",C39)</f>
        <v>33</v>
      </c>
      <c r="F39" s="610">
        <f t="shared" ref="F39:F42" ca="1" si="34">FIND("!",C39)</f>
        <v>45</v>
      </c>
      <c r="G39" s="609" t="str">
        <f t="shared" ref="G39:G42" ca="1" si="35">MID(C39,E39+1,F39-E39-2)</f>
        <v>Berechnung</v>
      </c>
      <c r="H39" s="610" t="str">
        <f t="shared" ref="H39:H42" ca="1" si="36">MID(C39,FIND("!",C39)+1,D39-F39)</f>
        <v>$I$40</v>
      </c>
      <c r="I39" s="608" t="b">
        <v>0</v>
      </c>
      <c r="J39" s="608" t="b">
        <v>1</v>
      </c>
      <c r="K39" s="714" t="str">
        <f>IF(Berechnung!I40="","-",Berechnung!I40)</f>
        <v>-</v>
      </c>
      <c r="L39" s="623"/>
      <c r="M39" s="623"/>
      <c r="N39" s="623"/>
      <c r="O39" s="623"/>
      <c r="P39" s="623"/>
    </row>
    <row r="40" spans="2:16" ht="18" customHeight="1" x14ac:dyDescent="0.2">
      <c r="B40" s="583" t="s">
        <v>511</v>
      </c>
      <c r="C40" s="609" t="str">
        <f ca="1">CELL("adresse",Berechnung!I41)</f>
        <v>'[A3_MWB-Foerderrechner_LBV.xlsm]Berechnung'!$I$41</v>
      </c>
      <c r="D40" s="610">
        <f t="shared" ca="1" si="0"/>
        <v>50</v>
      </c>
      <c r="E40" s="610">
        <f t="shared" ca="1" si="33"/>
        <v>33</v>
      </c>
      <c r="F40" s="610">
        <f t="shared" ca="1" si="34"/>
        <v>45</v>
      </c>
      <c r="G40" s="609" t="str">
        <f t="shared" ca="1" si="35"/>
        <v>Berechnung</v>
      </c>
      <c r="H40" s="610" t="str">
        <f t="shared" ca="1" si="36"/>
        <v>$I$41</v>
      </c>
      <c r="I40" s="608" t="b">
        <v>0</v>
      </c>
      <c r="J40" s="608" t="b">
        <v>1</v>
      </c>
      <c r="K40" s="714" t="str">
        <f>IF(Berechnung!I41="","-",Berechnung!I41)</f>
        <v>-</v>
      </c>
      <c r="L40" s="623"/>
      <c r="M40" s="623"/>
      <c r="N40" s="623"/>
      <c r="O40" s="623"/>
      <c r="P40" s="623"/>
    </row>
    <row r="41" spans="2:16" ht="18" customHeight="1" x14ac:dyDescent="0.2">
      <c r="B41" s="583" t="s">
        <v>512</v>
      </c>
      <c r="C41" s="609" t="str">
        <f ca="1">CELL("adresse",Berechnung!I42)</f>
        <v>'[A3_MWB-Foerderrechner_LBV.xlsm]Berechnung'!$I$42</v>
      </c>
      <c r="D41" s="610">
        <f t="shared" ca="1" si="0"/>
        <v>50</v>
      </c>
      <c r="E41" s="610">
        <f t="shared" ca="1" si="33"/>
        <v>33</v>
      </c>
      <c r="F41" s="610">
        <f t="shared" ca="1" si="34"/>
        <v>45</v>
      </c>
      <c r="G41" s="609" t="str">
        <f t="shared" ca="1" si="35"/>
        <v>Berechnung</v>
      </c>
      <c r="H41" s="610" t="str">
        <f t="shared" ca="1" si="36"/>
        <v>$I$42</v>
      </c>
      <c r="I41" s="608" t="b">
        <v>0</v>
      </c>
      <c r="J41" s="608" t="b">
        <v>1</v>
      </c>
      <c r="K41" s="714" t="str">
        <f>IF(Berechnung!I42="","-",Berechnung!I42)</f>
        <v>-</v>
      </c>
      <c r="L41" s="623"/>
      <c r="M41" s="623"/>
      <c r="N41" s="623"/>
      <c r="O41" s="623"/>
      <c r="P41" s="623"/>
    </row>
    <row r="42" spans="2:16" ht="18" customHeight="1" x14ac:dyDescent="0.2">
      <c r="B42" s="583" t="s">
        <v>513</v>
      </c>
      <c r="C42" s="609" t="str">
        <f ca="1">CELL("adresse",Berechnung!I43)</f>
        <v>'[A3_MWB-Foerderrechner_LBV.xlsm]Berechnung'!$I$43</v>
      </c>
      <c r="D42" s="610">
        <f t="shared" ca="1" si="0"/>
        <v>50</v>
      </c>
      <c r="E42" s="610">
        <f t="shared" ca="1" si="33"/>
        <v>33</v>
      </c>
      <c r="F42" s="610">
        <f t="shared" ca="1" si="34"/>
        <v>45</v>
      </c>
      <c r="G42" s="609" t="str">
        <f t="shared" ca="1" si="35"/>
        <v>Berechnung</v>
      </c>
      <c r="H42" s="610" t="str">
        <f t="shared" ca="1" si="36"/>
        <v>$I$43</v>
      </c>
      <c r="I42" s="608" t="b">
        <v>0</v>
      </c>
      <c r="J42" s="608" t="b">
        <v>1</v>
      </c>
      <c r="K42" s="714" t="str">
        <f>IF(Berechnung!I43="","-",Berechnung!I43)</f>
        <v>-</v>
      </c>
      <c r="L42" s="623"/>
      <c r="M42" s="623"/>
      <c r="N42" s="623"/>
      <c r="O42" s="623"/>
      <c r="P42" s="623"/>
    </row>
    <row r="43" spans="2:16" ht="18" customHeight="1" x14ac:dyDescent="0.2">
      <c r="B43" s="583" t="s">
        <v>2</v>
      </c>
      <c r="C43" s="609" t="str">
        <f ca="1">CELL("adresse",Berechnung!V40)</f>
        <v>'[A3_MWB-Foerderrechner_LBV.xlsm]Berechnung'!$V$40</v>
      </c>
      <c r="D43" s="610">
        <f t="shared" ca="1" si="0"/>
        <v>50</v>
      </c>
      <c r="E43" s="610">
        <f t="shared" ref="E43:E46" ca="1" si="37">FIND("]",C43)</f>
        <v>33</v>
      </c>
      <c r="F43" s="610">
        <f t="shared" ref="F43:F46" ca="1" si="38">FIND("!",C43)</f>
        <v>45</v>
      </c>
      <c r="G43" s="609" t="str">
        <f t="shared" ref="G43:G46" ca="1" si="39">MID(C43,E43+1,F43-E43-2)</f>
        <v>Berechnung</v>
      </c>
      <c r="H43" s="610" t="str">
        <f t="shared" ref="H43:H46" ca="1" si="40">MID(C43,FIND("!",C43)+1,D43-F43)</f>
        <v>$V$40</v>
      </c>
      <c r="I43" s="608" t="b">
        <v>0</v>
      </c>
      <c r="J43" s="608" t="b">
        <v>1</v>
      </c>
      <c r="K43" s="714">
        <f>IF(Berechnung!V40="","-",Berechnung!V40)</f>
        <v>0</v>
      </c>
      <c r="L43" s="623"/>
      <c r="M43" s="623"/>
      <c r="N43" s="623"/>
      <c r="O43" s="623"/>
      <c r="P43" s="623"/>
    </row>
    <row r="44" spans="2:16" ht="18" customHeight="1" x14ac:dyDescent="0.2">
      <c r="B44" s="583" t="s">
        <v>11</v>
      </c>
      <c r="C44" s="609" t="str">
        <f ca="1">CELL("adresse",Berechnung!V41)</f>
        <v>'[A3_MWB-Foerderrechner_LBV.xlsm]Berechnung'!$V$41</v>
      </c>
      <c r="D44" s="610">
        <f t="shared" ca="1" si="0"/>
        <v>50</v>
      </c>
      <c r="E44" s="610">
        <f t="shared" ca="1" si="37"/>
        <v>33</v>
      </c>
      <c r="F44" s="610">
        <f t="shared" ca="1" si="38"/>
        <v>45</v>
      </c>
      <c r="G44" s="609" t="str">
        <f t="shared" ca="1" si="39"/>
        <v>Berechnung</v>
      </c>
      <c r="H44" s="610" t="str">
        <f t="shared" ca="1" si="40"/>
        <v>$V$41</v>
      </c>
      <c r="I44" s="608" t="b">
        <v>0</v>
      </c>
      <c r="J44" s="608" t="b">
        <v>1</v>
      </c>
      <c r="K44" s="714" t="str">
        <f>IF(Berechnung!V41="","-",Berechnung!V41)</f>
        <v>-</v>
      </c>
      <c r="L44" s="623"/>
      <c r="M44" s="623"/>
      <c r="N44" s="623"/>
      <c r="O44" s="623"/>
      <c r="P44" s="623"/>
    </row>
    <row r="45" spans="2:16" ht="18" customHeight="1" x14ac:dyDescent="0.2">
      <c r="B45" s="583" t="s">
        <v>3</v>
      </c>
      <c r="C45" s="609" t="str">
        <f ca="1">CELL("adresse",Berechnung!V42)</f>
        <v>'[A3_MWB-Foerderrechner_LBV.xlsm]Berechnung'!$V$42</v>
      </c>
      <c r="D45" s="610">
        <f t="shared" ca="1" si="0"/>
        <v>50</v>
      </c>
      <c r="E45" s="610">
        <f t="shared" ca="1" si="37"/>
        <v>33</v>
      </c>
      <c r="F45" s="610">
        <f t="shared" ca="1" si="38"/>
        <v>45</v>
      </c>
      <c r="G45" s="609" t="str">
        <f t="shared" ca="1" si="39"/>
        <v>Berechnung</v>
      </c>
      <c r="H45" s="610" t="str">
        <f t="shared" ca="1" si="40"/>
        <v>$V$42</v>
      </c>
      <c r="I45" s="608" t="b">
        <v>0</v>
      </c>
      <c r="J45" s="608" t="b">
        <v>1</v>
      </c>
      <c r="K45" s="714" t="str">
        <f>IF(Berechnung!V42="","-",Berechnung!V42)</f>
        <v>-</v>
      </c>
      <c r="L45" s="623"/>
      <c r="M45" s="623"/>
      <c r="N45" s="623"/>
      <c r="O45" s="623"/>
      <c r="P45" s="623"/>
    </row>
    <row r="46" spans="2:16" ht="18" customHeight="1" x14ac:dyDescent="0.2">
      <c r="B46" s="583" t="s">
        <v>304</v>
      </c>
      <c r="C46" s="609" t="str">
        <f ca="1">CELL("adresse",Berechnung!V43)</f>
        <v>'[A3_MWB-Foerderrechner_LBV.xlsm]Berechnung'!$V$43</v>
      </c>
      <c r="D46" s="610">
        <f t="shared" ca="1" si="0"/>
        <v>50</v>
      </c>
      <c r="E46" s="610">
        <f t="shared" ca="1" si="37"/>
        <v>33</v>
      </c>
      <c r="F46" s="610">
        <f t="shared" ca="1" si="38"/>
        <v>45</v>
      </c>
      <c r="G46" s="609" t="str">
        <f t="shared" ca="1" si="39"/>
        <v>Berechnung</v>
      </c>
      <c r="H46" s="610" t="str">
        <f t="shared" ca="1" si="40"/>
        <v>$V$43</v>
      </c>
      <c r="I46" s="608" t="b">
        <v>0</v>
      </c>
      <c r="J46" s="608" t="b">
        <v>1</v>
      </c>
      <c r="K46" s="714" t="str">
        <f>IF(Berechnung!V43="","-",Berechnung!V43)</f>
        <v>-</v>
      </c>
      <c r="L46" s="623"/>
      <c r="M46" s="623"/>
      <c r="N46" s="623"/>
      <c r="O46" s="623"/>
      <c r="P46" s="623"/>
    </row>
    <row r="47" spans="2:16" ht="36" customHeight="1" x14ac:dyDescent="0.2">
      <c r="B47" s="611" t="s">
        <v>541</v>
      </c>
      <c r="C47" s="612" t="str">
        <f ca="1">CELL("adresse",Berechnung!P48)</f>
        <v>'[A3_MWB-Foerderrechner_LBV.xlsm]Berechnung'!$P$48</v>
      </c>
      <c r="D47" s="613">
        <f t="shared" ref="D47:D66" ca="1" si="41">LEN(C47)</f>
        <v>50</v>
      </c>
      <c r="E47" s="613">
        <f t="shared" ref="E47:E66" ca="1" si="42">FIND("]",C47)</f>
        <v>33</v>
      </c>
      <c r="F47" s="613">
        <f t="shared" ref="F47:F66" ca="1" si="43">FIND("!",C47)</f>
        <v>45</v>
      </c>
      <c r="G47" s="612" t="str">
        <f t="shared" ref="G47:G66" ca="1" si="44">MID(C47,E47+1,F47-E47-2)</f>
        <v>Berechnung</v>
      </c>
      <c r="H47" s="613" t="str">
        <f t="shared" ref="H47:H66" ca="1" si="45">MID(C47,FIND("!",C47)+1,D47-F47)</f>
        <v>$P$48</v>
      </c>
      <c r="I47" s="614" t="b">
        <v>1</v>
      </c>
      <c r="J47" s="614" t="b">
        <v>1</v>
      </c>
      <c r="K47" s="711" t="str">
        <f>IF(Berechnung!P48="","-",Berechnung!P48)</f>
        <v>Sonstiger Zuschuss I (bitte benennen):</v>
      </c>
      <c r="L47" s="624"/>
      <c r="M47" s="624"/>
      <c r="N47" s="624"/>
      <c r="O47" s="624"/>
      <c r="P47" s="624"/>
    </row>
    <row r="48" spans="2:16" ht="18" customHeight="1" x14ac:dyDescent="0.2">
      <c r="B48" s="583" t="s">
        <v>540</v>
      </c>
      <c r="C48" s="609" t="str">
        <f ca="1">CELL("adresse",Berechnung!V48)</f>
        <v>'[A3_MWB-Foerderrechner_LBV.xlsm]Berechnung'!$V$48</v>
      </c>
      <c r="D48" s="610">
        <f t="shared" ca="1" si="41"/>
        <v>50</v>
      </c>
      <c r="E48" s="610">
        <f t="shared" ca="1" si="42"/>
        <v>33</v>
      </c>
      <c r="F48" s="610">
        <f t="shared" ca="1" si="43"/>
        <v>45</v>
      </c>
      <c r="G48" s="609" t="str">
        <f t="shared" ca="1" si="44"/>
        <v>Berechnung</v>
      </c>
      <c r="H48" s="610" t="str">
        <f t="shared" ca="1" si="45"/>
        <v>$V$48</v>
      </c>
      <c r="I48" s="608" t="b">
        <v>0</v>
      </c>
      <c r="J48" s="608" t="b">
        <v>1</v>
      </c>
      <c r="K48" s="714" t="str">
        <f>IF(Berechnung!V48="","-",Berechnung!V48)</f>
        <v>-</v>
      </c>
      <c r="L48" s="623"/>
      <c r="M48" s="623"/>
      <c r="N48" s="623"/>
      <c r="O48" s="623"/>
      <c r="P48" s="623"/>
    </row>
    <row r="49" spans="2:16" ht="36" customHeight="1" x14ac:dyDescent="0.2">
      <c r="B49" s="611" t="s">
        <v>542</v>
      </c>
      <c r="C49" s="612" t="str">
        <f ca="1">CELL("adresse",Berechnung!P49)</f>
        <v>'[A3_MWB-Foerderrechner_LBV.xlsm]Berechnung'!$P$49</v>
      </c>
      <c r="D49" s="613">
        <f t="shared" ca="1" si="41"/>
        <v>50</v>
      </c>
      <c r="E49" s="613">
        <f t="shared" ca="1" si="42"/>
        <v>33</v>
      </c>
      <c r="F49" s="613">
        <f t="shared" ca="1" si="43"/>
        <v>45</v>
      </c>
      <c r="G49" s="612" t="str">
        <f t="shared" ca="1" si="44"/>
        <v>Berechnung</v>
      </c>
      <c r="H49" s="613" t="str">
        <f t="shared" ca="1" si="45"/>
        <v>$P$49</v>
      </c>
      <c r="I49" s="614" t="b">
        <v>1</v>
      </c>
      <c r="J49" s="614" t="b">
        <v>1</v>
      </c>
      <c r="K49" s="711" t="str">
        <f>IF(Berechnung!P49="","-",Berechnung!P49)</f>
        <v>Sonstiger Zuschuss II (bitte benennen):</v>
      </c>
      <c r="L49" s="624"/>
      <c r="M49" s="624"/>
      <c r="N49" s="624"/>
      <c r="O49" s="624"/>
      <c r="P49" s="624"/>
    </row>
    <row r="50" spans="2:16" ht="18" customHeight="1" x14ac:dyDescent="0.2">
      <c r="B50" s="583" t="s">
        <v>543</v>
      </c>
      <c r="C50" s="609" t="str">
        <f ca="1">CELL("adresse",Berechnung!V49)</f>
        <v>'[A3_MWB-Foerderrechner_LBV.xlsm]Berechnung'!$V$49</v>
      </c>
      <c r="D50" s="610">
        <f t="shared" ca="1" si="41"/>
        <v>50</v>
      </c>
      <c r="E50" s="610">
        <f t="shared" ca="1" si="42"/>
        <v>33</v>
      </c>
      <c r="F50" s="610">
        <f t="shared" ca="1" si="43"/>
        <v>45</v>
      </c>
      <c r="G50" s="609" t="str">
        <f t="shared" ca="1" si="44"/>
        <v>Berechnung</v>
      </c>
      <c r="H50" s="610" t="str">
        <f t="shared" ca="1" si="45"/>
        <v>$V$49</v>
      </c>
      <c r="I50" s="608" t="b">
        <v>0</v>
      </c>
      <c r="J50" s="608" t="b">
        <v>1</v>
      </c>
      <c r="K50" s="714" t="str">
        <f>IF(Berechnung!V49="","-",Berechnung!V49)</f>
        <v>-</v>
      </c>
      <c r="L50" s="623"/>
      <c r="M50" s="623"/>
      <c r="N50" s="623"/>
      <c r="O50" s="623"/>
      <c r="P50" s="623"/>
    </row>
    <row r="51" spans="2:16" ht="18" customHeight="1" x14ac:dyDescent="0.2">
      <c r="B51" s="583" t="s">
        <v>92</v>
      </c>
      <c r="C51" s="609" t="str">
        <f ca="1">CELL("adresse",Berechnung!V58)</f>
        <v>'[A3_MWB-Foerderrechner_LBV.xlsm]Berechnung'!$V$58</v>
      </c>
      <c r="D51" s="610">
        <f t="shared" ca="1" si="41"/>
        <v>50</v>
      </c>
      <c r="E51" s="610">
        <f t="shared" ca="1" si="42"/>
        <v>33</v>
      </c>
      <c r="F51" s="610">
        <f t="shared" ca="1" si="43"/>
        <v>45</v>
      </c>
      <c r="G51" s="609" t="str">
        <f t="shared" ca="1" si="44"/>
        <v>Berechnung</v>
      </c>
      <c r="H51" s="610" t="str">
        <f t="shared" ca="1" si="45"/>
        <v>$V$58</v>
      </c>
      <c r="I51" s="608" t="b">
        <v>0</v>
      </c>
      <c r="J51" s="608" t="b">
        <v>1</v>
      </c>
      <c r="K51" s="714" t="str">
        <f>IF(Berechnung!V58="","-",Berechnung!V58)</f>
        <v>-</v>
      </c>
      <c r="L51" s="623"/>
      <c r="M51" s="623"/>
      <c r="N51" s="623"/>
      <c r="O51" s="623"/>
      <c r="P51" s="623"/>
    </row>
    <row r="52" spans="2:16" ht="18" customHeight="1" x14ac:dyDescent="0.2">
      <c r="B52" s="766" t="s">
        <v>668</v>
      </c>
      <c r="C52" s="609" t="str">
        <f ca="1">CELL("adresse",Berechnung!Q59)</f>
        <v>'[A3_MWB-Foerderrechner_LBV.xlsm]Berechnung'!$Q$59</v>
      </c>
      <c r="D52" s="610">
        <f t="shared" ref="D52" ca="1" si="46">LEN(C52)</f>
        <v>50</v>
      </c>
      <c r="E52" s="610">
        <f t="shared" ref="E52" ca="1" si="47">FIND("]",C52)</f>
        <v>33</v>
      </c>
      <c r="F52" s="610">
        <f t="shared" ref="F52" ca="1" si="48">FIND("!",C52)</f>
        <v>45</v>
      </c>
      <c r="G52" s="609" t="str">
        <f t="shared" ref="G52" ca="1" si="49">MID(C52,E52+1,F52-E52-2)</f>
        <v>Berechnung</v>
      </c>
      <c r="H52" s="610" t="str">
        <f t="shared" ref="H52" ca="1" si="50">MID(C52,FIND("!",C52)+1,D52-F52)</f>
        <v>$Q$59</v>
      </c>
      <c r="I52" s="608" t="b">
        <v>0</v>
      </c>
      <c r="J52" s="608" t="b">
        <v>0</v>
      </c>
      <c r="K52" s="715">
        <f>IF(Berechnung!Q59="","-",Berechnung!Q59)</f>
        <v>0.5</v>
      </c>
      <c r="L52" s="767"/>
      <c r="M52" s="767"/>
      <c r="N52" s="767"/>
      <c r="O52" s="767"/>
      <c r="P52" s="767"/>
    </row>
    <row r="53" spans="2:16" ht="18" customHeight="1" x14ac:dyDescent="0.2">
      <c r="B53" s="583" t="s">
        <v>71</v>
      </c>
      <c r="C53" s="609" t="str">
        <f ca="1">CELL("adresse",Berechnung!S59)</f>
        <v>'[A3_MWB-Foerderrechner_LBV.xlsm]Berechnung'!$S$59</v>
      </c>
      <c r="D53" s="610">
        <f t="shared" ca="1" si="41"/>
        <v>50</v>
      </c>
      <c r="E53" s="610">
        <f t="shared" ca="1" si="42"/>
        <v>33</v>
      </c>
      <c r="F53" s="610">
        <f t="shared" ca="1" si="43"/>
        <v>45</v>
      </c>
      <c r="G53" s="609" t="str">
        <f t="shared" ca="1" si="44"/>
        <v>Berechnung</v>
      </c>
      <c r="H53" s="610" t="str">
        <f t="shared" ca="1" si="45"/>
        <v>$S$59</v>
      </c>
      <c r="I53" s="608" t="b">
        <v>0</v>
      </c>
      <c r="J53" s="608" t="b">
        <v>1</v>
      </c>
      <c r="K53" s="715">
        <f>IF(Berechnung!S59="","-",Berechnung!S59)</f>
        <v>2</v>
      </c>
      <c r="L53" s="625"/>
      <c r="M53" s="625"/>
      <c r="N53" s="625"/>
      <c r="O53" s="625"/>
      <c r="P53" s="625"/>
    </row>
    <row r="54" spans="2:16" ht="36" customHeight="1" x14ac:dyDescent="0.2">
      <c r="B54" s="611" t="s">
        <v>539</v>
      </c>
      <c r="C54" s="612" t="str">
        <f ca="1">CELL("adresse",Berechnung!D62)</f>
        <v>'[A3_MWB-Foerderrechner_LBV.xlsm]Berechnung'!$D$62</v>
      </c>
      <c r="D54" s="613">
        <f t="shared" ca="1" si="41"/>
        <v>50</v>
      </c>
      <c r="E54" s="613">
        <f t="shared" ca="1" si="42"/>
        <v>33</v>
      </c>
      <c r="F54" s="613">
        <f t="shared" ca="1" si="43"/>
        <v>45</v>
      </c>
      <c r="G54" s="612" t="str">
        <f t="shared" ca="1" si="44"/>
        <v>Berechnung</v>
      </c>
      <c r="H54" s="613" t="str">
        <f t="shared" ca="1" si="45"/>
        <v>$D$62</v>
      </c>
      <c r="I54" s="614" t="b">
        <v>1</v>
      </c>
      <c r="J54" s="614" t="b">
        <v>1</v>
      </c>
      <c r="K54" s="711" t="str">
        <f>IF(Berechnung!D62="","-",Berechnung!D62)</f>
        <v>-</v>
      </c>
      <c r="L54" s="626"/>
      <c r="M54" s="626"/>
      <c r="N54" s="626"/>
      <c r="O54" s="626"/>
      <c r="P54" s="626"/>
    </row>
    <row r="55" spans="2:16" ht="18" customHeight="1" x14ac:dyDescent="0.2">
      <c r="B55" s="583" t="s">
        <v>525</v>
      </c>
      <c r="C55" s="609" t="str">
        <f ca="1">CELL("adresse",Berechnung!L62)</f>
        <v>'[A3_MWB-Foerderrechner_LBV.xlsm]Berechnung'!$L$62</v>
      </c>
      <c r="D55" s="610">
        <f t="shared" ca="1" si="41"/>
        <v>50</v>
      </c>
      <c r="E55" s="610">
        <f t="shared" ca="1" si="42"/>
        <v>33</v>
      </c>
      <c r="F55" s="610">
        <f t="shared" ca="1" si="43"/>
        <v>45</v>
      </c>
      <c r="G55" s="609" t="str">
        <f t="shared" ca="1" si="44"/>
        <v>Berechnung</v>
      </c>
      <c r="H55" s="610" t="str">
        <f t="shared" ca="1" si="45"/>
        <v>$L$62</v>
      </c>
      <c r="I55" s="608" t="b">
        <v>0</v>
      </c>
      <c r="J55" s="608" t="b">
        <v>1</v>
      </c>
      <c r="K55" s="714" t="str">
        <f>IF(Berechnung!L62="","-",Berechnung!L62)</f>
        <v>-</v>
      </c>
      <c r="L55" s="623"/>
      <c r="M55" s="623"/>
      <c r="N55" s="623"/>
      <c r="O55" s="623"/>
      <c r="P55" s="623"/>
    </row>
    <row r="56" spans="2:16" ht="18" customHeight="1" x14ac:dyDescent="0.2">
      <c r="B56" s="583" t="s">
        <v>439</v>
      </c>
      <c r="C56" s="609" t="str">
        <f ca="1">CELL("adresse",Berechnung!Q62)</f>
        <v>'[A3_MWB-Foerderrechner_LBV.xlsm]Berechnung'!$Q$62</v>
      </c>
      <c r="D56" s="610">
        <f t="shared" ca="1" si="41"/>
        <v>50</v>
      </c>
      <c r="E56" s="610">
        <f t="shared" ca="1" si="42"/>
        <v>33</v>
      </c>
      <c r="F56" s="610">
        <f t="shared" ca="1" si="43"/>
        <v>45</v>
      </c>
      <c r="G56" s="609" t="str">
        <f t="shared" ca="1" si="44"/>
        <v>Berechnung</v>
      </c>
      <c r="H56" s="610" t="str">
        <f t="shared" ca="1" si="45"/>
        <v>$Q$62</v>
      </c>
      <c r="I56" s="608" t="b">
        <v>0</v>
      </c>
      <c r="J56" s="608" t="b">
        <v>1</v>
      </c>
      <c r="K56" s="715" t="str">
        <f>IF(Berechnung!Q62="","-",Berechnung!Q62)</f>
        <v>-</v>
      </c>
      <c r="L56" s="625"/>
      <c r="M56" s="625"/>
      <c r="N56" s="625"/>
      <c r="O56" s="625"/>
      <c r="P56" s="625"/>
    </row>
    <row r="57" spans="2:16" ht="18" customHeight="1" x14ac:dyDescent="0.2">
      <c r="B57" s="583" t="s">
        <v>508</v>
      </c>
      <c r="C57" s="609" t="str">
        <f ca="1">CELL("adresse",Berechnung!S62)</f>
        <v>'[A3_MWB-Foerderrechner_LBV.xlsm]Berechnung'!$S$62</v>
      </c>
      <c r="D57" s="610">
        <f t="shared" ca="1" si="41"/>
        <v>50</v>
      </c>
      <c r="E57" s="610">
        <f t="shared" ca="1" si="42"/>
        <v>33</v>
      </c>
      <c r="F57" s="610">
        <f t="shared" ca="1" si="43"/>
        <v>45</v>
      </c>
      <c r="G57" s="609" t="str">
        <f t="shared" ca="1" si="44"/>
        <v>Berechnung</v>
      </c>
      <c r="H57" s="610" t="str">
        <f t="shared" ca="1" si="45"/>
        <v>$S$62</v>
      </c>
      <c r="I57" s="608" t="b">
        <v>0</v>
      </c>
      <c r="J57" s="608" t="b">
        <v>1</v>
      </c>
      <c r="K57" s="715" t="str">
        <f>IF(Berechnung!S62="","-",Berechnung!S62)</f>
        <v>-</v>
      </c>
      <c r="L57" s="625"/>
      <c r="M57" s="625"/>
      <c r="N57" s="625"/>
      <c r="O57" s="625"/>
      <c r="P57" s="625"/>
    </row>
    <row r="58" spans="2:16" ht="18" customHeight="1" x14ac:dyDescent="0.2">
      <c r="B58" s="583" t="s">
        <v>94</v>
      </c>
      <c r="C58" s="609" t="str">
        <f ca="1">CELL("adresse",Berechnung!Q63)</f>
        <v>'[A3_MWB-Foerderrechner_LBV.xlsm]Berechnung'!$Q$63</v>
      </c>
      <c r="D58" s="610">
        <f t="shared" ca="1" si="41"/>
        <v>50</v>
      </c>
      <c r="E58" s="610">
        <f t="shared" ca="1" si="42"/>
        <v>33</v>
      </c>
      <c r="F58" s="610">
        <f t="shared" ca="1" si="43"/>
        <v>45</v>
      </c>
      <c r="G58" s="609" t="str">
        <f t="shared" ca="1" si="44"/>
        <v>Berechnung</v>
      </c>
      <c r="H58" s="610" t="str">
        <f t="shared" ca="1" si="45"/>
        <v>$Q$63</v>
      </c>
      <c r="I58" s="608" t="b">
        <v>0</v>
      </c>
      <c r="J58" s="608" t="b">
        <v>1</v>
      </c>
      <c r="K58" s="715" t="str">
        <f>IF(Berechnung!Q63="","-",Berechnung!Q63)</f>
        <v>-</v>
      </c>
      <c r="L58" s="625"/>
      <c r="M58" s="625"/>
      <c r="N58" s="625"/>
      <c r="O58" s="625"/>
      <c r="P58" s="625"/>
    </row>
    <row r="59" spans="2:16" ht="18" customHeight="1" x14ac:dyDescent="0.2">
      <c r="B59" s="583" t="s">
        <v>95</v>
      </c>
      <c r="C59" s="609" t="str">
        <f ca="1">CELL("adresse",Berechnung!S63)</f>
        <v>'[A3_MWB-Foerderrechner_LBV.xlsm]Berechnung'!$S$63</v>
      </c>
      <c r="D59" s="610">
        <f t="shared" ca="1" si="41"/>
        <v>50</v>
      </c>
      <c r="E59" s="610">
        <f t="shared" ca="1" si="42"/>
        <v>33</v>
      </c>
      <c r="F59" s="610">
        <f t="shared" ca="1" si="43"/>
        <v>45</v>
      </c>
      <c r="G59" s="609" t="str">
        <f t="shared" ca="1" si="44"/>
        <v>Berechnung</v>
      </c>
      <c r="H59" s="610" t="str">
        <f t="shared" ca="1" si="45"/>
        <v>$S$63</v>
      </c>
      <c r="I59" s="608" t="b">
        <v>0</v>
      </c>
      <c r="J59" s="608" t="b">
        <v>1</v>
      </c>
      <c r="K59" s="715" t="str">
        <f>IF(Berechnung!S63="","-",Berechnung!S63)</f>
        <v>-</v>
      </c>
      <c r="L59" s="625"/>
      <c r="M59" s="625"/>
      <c r="N59" s="625"/>
      <c r="O59" s="625"/>
      <c r="P59" s="625"/>
    </row>
    <row r="60" spans="2:16" ht="18" customHeight="1" x14ac:dyDescent="0.2">
      <c r="B60" s="583" t="s">
        <v>38</v>
      </c>
      <c r="C60" s="609" t="str">
        <f ca="1">CELL("adresse",Berechnung!G67)</f>
        <v>'[A3_MWB-Foerderrechner_LBV.xlsm]Berechnung'!$G$67</v>
      </c>
      <c r="D60" s="610">
        <f t="shared" ca="1" si="41"/>
        <v>50</v>
      </c>
      <c r="E60" s="610">
        <f t="shared" ca="1" si="42"/>
        <v>33</v>
      </c>
      <c r="F60" s="610">
        <f t="shared" ca="1" si="43"/>
        <v>45</v>
      </c>
      <c r="G60" s="609" t="str">
        <f t="shared" ca="1" si="44"/>
        <v>Berechnung</v>
      </c>
      <c r="H60" s="610" t="str">
        <f t="shared" ca="1" si="45"/>
        <v>$G$67</v>
      </c>
      <c r="I60" s="608" t="b">
        <v>0</v>
      </c>
      <c r="J60" s="608" t="b">
        <v>1</v>
      </c>
      <c r="K60" s="710" t="str">
        <f>IF(Berechnung!G67="","-",Berechnung!G67)</f>
        <v>Aktuell gültig</v>
      </c>
      <c r="L60" s="621"/>
      <c r="M60" s="621"/>
      <c r="N60" s="621"/>
      <c r="O60" s="621"/>
      <c r="P60" s="621"/>
    </row>
    <row r="61" spans="2:16" ht="18" customHeight="1" x14ac:dyDescent="0.2">
      <c r="B61" s="1002" t="s">
        <v>794</v>
      </c>
      <c r="C61" s="1003" t="str">
        <f ca="1">CELL("adresse",Berechnung!G68)</f>
        <v>'[A3_MWB-Foerderrechner_LBV.xlsm]Berechnung'!$G$68</v>
      </c>
      <c r="D61" s="610">
        <f t="shared" ref="D61" ca="1" si="51">LEN(C61)</f>
        <v>50</v>
      </c>
      <c r="E61" s="610">
        <f t="shared" ref="E61" ca="1" si="52">FIND("]",C61)</f>
        <v>33</v>
      </c>
      <c r="F61" s="610">
        <f t="shared" ref="F61" ca="1" si="53">FIND("!",C61)</f>
        <v>45</v>
      </c>
      <c r="G61" s="609" t="str">
        <f t="shared" ref="G61" ca="1" si="54">MID(C61,E61+1,F61-E61-2)</f>
        <v>Berechnung</v>
      </c>
      <c r="H61" s="610" t="str">
        <f t="shared" ref="H61" ca="1" si="55">MID(C61,FIND("!",C61)+1,D61-F61)</f>
        <v>$G$68</v>
      </c>
      <c r="I61" s="608" t="b">
        <v>0</v>
      </c>
      <c r="J61" s="608" t="b">
        <v>1</v>
      </c>
      <c r="K61" s="709" t="str">
        <f>IF(Berechnung!G68="","-",Berechnung!G68)</f>
        <v>-</v>
      </c>
      <c r="L61" s="1004"/>
      <c r="M61" s="1004"/>
      <c r="N61" s="1004"/>
      <c r="O61" s="1004"/>
      <c r="P61" s="1004"/>
    </row>
    <row r="62" spans="2:16" ht="18" customHeight="1" x14ac:dyDescent="0.2">
      <c r="B62" s="583" t="s">
        <v>793</v>
      </c>
      <c r="C62" s="609" t="str">
        <f ca="1">CELL("adresse",Berechnung!G69)</f>
        <v>'[A3_MWB-Foerderrechner_LBV.xlsm]Berechnung'!$G$69</v>
      </c>
      <c r="D62" s="610">
        <f t="shared" ca="1" si="41"/>
        <v>50</v>
      </c>
      <c r="E62" s="610">
        <f t="shared" ca="1" si="42"/>
        <v>33</v>
      </c>
      <c r="F62" s="610">
        <f t="shared" ca="1" si="43"/>
        <v>45</v>
      </c>
      <c r="G62" s="609" t="str">
        <f t="shared" ca="1" si="44"/>
        <v>Berechnung</v>
      </c>
      <c r="H62" s="610" t="str">
        <f t="shared" ca="1" si="45"/>
        <v>$G$69</v>
      </c>
      <c r="I62" s="608" t="b">
        <v>0</v>
      </c>
      <c r="J62" s="608" t="b">
        <v>1</v>
      </c>
      <c r="K62" s="709" t="str">
        <f>IF(Berechnung!G69="","-",Berechnung!G69)</f>
        <v>-</v>
      </c>
      <c r="L62" s="617"/>
      <c r="M62" s="617"/>
      <c r="N62" s="617"/>
      <c r="O62" s="617"/>
      <c r="P62" s="617"/>
    </row>
    <row r="63" spans="2:16" ht="18" customHeight="1" x14ac:dyDescent="0.2">
      <c r="B63" s="583" t="s">
        <v>50</v>
      </c>
      <c r="C63" s="609" t="str">
        <f ca="1">CELL("adresse",Berechnung!G70)</f>
        <v>'[A3_MWB-Foerderrechner_LBV.xlsm]Berechnung'!$G$70</v>
      </c>
      <c r="D63" s="610">
        <f t="shared" ca="1" si="41"/>
        <v>50</v>
      </c>
      <c r="E63" s="610">
        <f t="shared" ca="1" si="42"/>
        <v>33</v>
      </c>
      <c r="F63" s="610">
        <f t="shared" ca="1" si="43"/>
        <v>45</v>
      </c>
      <c r="G63" s="609" t="str">
        <f t="shared" ca="1" si="44"/>
        <v>Berechnung</v>
      </c>
      <c r="H63" s="610" t="str">
        <f t="shared" ca="1" si="45"/>
        <v>$G$70</v>
      </c>
      <c r="I63" s="608" t="b">
        <v>0</v>
      </c>
      <c r="J63" s="608" t="b">
        <v>1</v>
      </c>
      <c r="K63" s="710" t="str">
        <f>IF(Berechnung!G70="","-",Berechnung!G70)</f>
        <v>-</v>
      </c>
      <c r="L63" s="621"/>
      <c r="M63" s="621"/>
      <c r="N63" s="621"/>
      <c r="O63" s="621"/>
      <c r="P63" s="621"/>
    </row>
    <row r="64" spans="2:16" ht="18" customHeight="1" x14ac:dyDescent="0.2">
      <c r="B64" s="583" t="s">
        <v>526</v>
      </c>
      <c r="C64" s="609" t="str">
        <f ca="1">CELL("adresse",Berechnung!V74)</f>
        <v>'[A3_MWB-Foerderrechner_LBV.xlsm]Berechnung'!$V$74</v>
      </c>
      <c r="D64" s="610">
        <f t="shared" ca="1" si="41"/>
        <v>50</v>
      </c>
      <c r="E64" s="610">
        <f t="shared" ca="1" si="42"/>
        <v>33</v>
      </c>
      <c r="F64" s="610">
        <f t="shared" ca="1" si="43"/>
        <v>45</v>
      </c>
      <c r="G64" s="609" t="str">
        <f t="shared" ca="1" si="44"/>
        <v>Berechnung</v>
      </c>
      <c r="H64" s="610" t="str">
        <f t="shared" ca="1" si="45"/>
        <v>$V$74</v>
      </c>
      <c r="I64" s="608" t="b">
        <v>0</v>
      </c>
      <c r="J64" s="608" t="b">
        <v>1</v>
      </c>
      <c r="K64" s="714" t="str">
        <f>IF(Berechnung!V74="","-",Berechnung!V74)</f>
        <v>-</v>
      </c>
      <c r="L64" s="623"/>
      <c r="M64" s="623"/>
      <c r="N64" s="623"/>
      <c r="O64" s="623"/>
      <c r="P64" s="623"/>
    </row>
    <row r="65" spans="2:16" ht="18" customHeight="1" x14ac:dyDescent="0.2">
      <c r="B65" s="835" t="s">
        <v>733</v>
      </c>
      <c r="C65" s="609" t="str">
        <f ca="1">CELL("adresse",Berechnung!U83)</f>
        <v>'[A3_MWB-Foerderrechner_LBV.xlsm]Berechnung'!$U$83</v>
      </c>
      <c r="D65" s="610">
        <f t="shared" ref="D65" ca="1" si="56">LEN(C65)</f>
        <v>50</v>
      </c>
      <c r="E65" s="610">
        <f t="shared" ref="E65" ca="1" si="57">FIND("]",C65)</f>
        <v>33</v>
      </c>
      <c r="F65" s="610">
        <f t="shared" ref="F65" ca="1" si="58">FIND("!",C65)</f>
        <v>45</v>
      </c>
      <c r="G65" s="609" t="str">
        <f t="shared" ref="G65" ca="1" si="59">MID(C65,E65+1,F65-E65-2)</f>
        <v>Berechnung</v>
      </c>
      <c r="H65" s="610" t="str">
        <f t="shared" ref="H65" ca="1" si="60">MID(C65,FIND("!",C65)+1,D65-F65)</f>
        <v>$U$83</v>
      </c>
      <c r="I65" s="608" t="b">
        <v>0</v>
      </c>
      <c r="J65" s="608" t="b">
        <v>1</v>
      </c>
      <c r="K65" s="710" t="str">
        <f>IF(Berechnung!U83="","-",Berechnung!U83)</f>
        <v>Nein</v>
      </c>
      <c r="L65" s="873"/>
      <c r="M65" s="873"/>
      <c r="N65" s="873"/>
      <c r="O65" s="873"/>
      <c r="P65" s="873"/>
    </row>
    <row r="66" spans="2:16" ht="18" customHeight="1" x14ac:dyDescent="0.2">
      <c r="B66" s="583" t="s">
        <v>91</v>
      </c>
      <c r="C66" s="609" t="str">
        <f ca="1">CELL("adresse",Berechnung!V84)</f>
        <v>'[A3_MWB-Foerderrechner_LBV.xlsm]Berechnung'!$V$84</v>
      </c>
      <c r="D66" s="610">
        <f t="shared" ca="1" si="41"/>
        <v>50</v>
      </c>
      <c r="E66" s="610">
        <f t="shared" ca="1" si="42"/>
        <v>33</v>
      </c>
      <c r="F66" s="610">
        <f t="shared" ca="1" si="43"/>
        <v>45</v>
      </c>
      <c r="G66" s="609" t="str">
        <f t="shared" ca="1" si="44"/>
        <v>Berechnung</v>
      </c>
      <c r="H66" s="610" t="str">
        <f t="shared" ca="1" si="45"/>
        <v>$V$84</v>
      </c>
      <c r="I66" s="608" t="b">
        <v>0</v>
      </c>
      <c r="J66" s="608" t="b">
        <v>1</v>
      </c>
      <c r="K66" s="714" t="str">
        <f>IF(Berechnung!V84="","-",Berechnung!V84)</f>
        <v>-</v>
      </c>
      <c r="L66" s="623"/>
      <c r="M66" s="623"/>
      <c r="N66" s="623"/>
      <c r="O66" s="623"/>
      <c r="P66" s="623"/>
    </row>
    <row r="67" spans="2:16" ht="18" customHeight="1" x14ac:dyDescent="0.2">
      <c r="B67" s="768" t="s">
        <v>628</v>
      </c>
      <c r="C67" s="769" t="str">
        <f ca="1">CELL("adresse",Berechnung!L63)</f>
        <v>'[A3_MWB-Foerderrechner_LBV.xlsm]Berechnung'!$L$63</v>
      </c>
      <c r="D67" s="770">
        <f t="shared" ref="D67" ca="1" si="61">LEN(C67)</f>
        <v>50</v>
      </c>
      <c r="E67" s="770">
        <f t="shared" ref="E67" ca="1" si="62">FIND("]",C67)</f>
        <v>33</v>
      </c>
      <c r="F67" s="770">
        <f t="shared" ref="F67" ca="1" si="63">FIND("!",C67)</f>
        <v>45</v>
      </c>
      <c r="G67" s="771" t="str">
        <f t="shared" ref="G67" ca="1" si="64">MID(C67,E67+1,F67-E67-2)</f>
        <v>Berechnung</v>
      </c>
      <c r="H67" s="770" t="str">
        <f t="shared" ref="H67" ca="1" si="65">MID(C67,FIND("!",C67)+1,D67-F67)</f>
        <v>$L$63</v>
      </c>
      <c r="I67" s="772" t="b">
        <v>0</v>
      </c>
      <c r="J67" s="772" t="b">
        <v>0</v>
      </c>
      <c r="K67" s="773">
        <f>Berechnung!L63</f>
        <v>0</v>
      </c>
      <c r="L67" s="776"/>
      <c r="M67" s="776"/>
      <c r="N67" s="776"/>
      <c r="O67" s="776"/>
      <c r="P67" s="776"/>
    </row>
    <row r="68" spans="2:16" ht="18" customHeight="1" x14ac:dyDescent="0.2">
      <c r="B68" s="768" t="s">
        <v>595</v>
      </c>
      <c r="C68" s="769" t="str">
        <f ca="1">CELL("adresse",Daten!M143)</f>
        <v>'[A3_MWB-Foerderrechner_LBV.xlsm]Daten'!$M$143</v>
      </c>
      <c r="D68" s="770">
        <f t="shared" ref="D68:D74" ca="1" si="66">LEN(C68)</f>
        <v>46</v>
      </c>
      <c r="E68" s="770">
        <f t="shared" ref="E68:E74" ca="1" si="67">FIND("]",C68)</f>
        <v>33</v>
      </c>
      <c r="F68" s="770">
        <f t="shared" ref="F68:F74" ca="1" si="68">FIND("!",C68)</f>
        <v>40</v>
      </c>
      <c r="G68" s="771" t="str">
        <f t="shared" ref="G68:G74" ca="1" si="69">MID(C68,E68+1,F68-E68-2)</f>
        <v>Daten</v>
      </c>
      <c r="H68" s="770" t="str">
        <f t="shared" ref="H68:H74" ca="1" si="70">MID(C68,FIND("!",C68)+1,D68-F68)</f>
        <v>$M$143</v>
      </c>
      <c r="I68" s="772" t="b">
        <v>0</v>
      </c>
      <c r="J68" s="772" t="b">
        <v>0</v>
      </c>
      <c r="K68" s="773">
        <f>Daten!M143</f>
        <v>0</v>
      </c>
      <c r="L68" s="776"/>
      <c r="M68" s="776"/>
      <c r="N68" s="776"/>
      <c r="O68" s="776"/>
      <c r="P68" s="776"/>
    </row>
    <row r="69" spans="2:16" ht="18" customHeight="1" x14ac:dyDescent="0.2">
      <c r="B69" s="768" t="s">
        <v>596</v>
      </c>
      <c r="C69" s="769" t="str">
        <f ca="1">CELL("adresse",Daten!M144)</f>
        <v>'[A3_MWB-Foerderrechner_LBV.xlsm]Daten'!$M$144</v>
      </c>
      <c r="D69" s="770">
        <f t="shared" ca="1" si="66"/>
        <v>46</v>
      </c>
      <c r="E69" s="770">
        <f t="shared" ca="1" si="67"/>
        <v>33</v>
      </c>
      <c r="F69" s="770">
        <f t="shared" ca="1" si="68"/>
        <v>40</v>
      </c>
      <c r="G69" s="771" t="str">
        <f t="shared" ca="1" si="69"/>
        <v>Daten</v>
      </c>
      <c r="H69" s="770" t="str">
        <f t="shared" ca="1" si="70"/>
        <v>$M$144</v>
      </c>
      <c r="I69" s="772" t="b">
        <v>0</v>
      </c>
      <c r="J69" s="772" t="b">
        <v>0</v>
      </c>
      <c r="K69" s="773">
        <f>Daten!M144</f>
        <v>0</v>
      </c>
      <c r="L69" s="776"/>
      <c r="M69" s="776"/>
      <c r="N69" s="776"/>
      <c r="O69" s="776"/>
      <c r="P69" s="776"/>
    </row>
    <row r="70" spans="2:16" ht="18" customHeight="1" x14ac:dyDescent="0.2">
      <c r="B70" s="768" t="s">
        <v>597</v>
      </c>
      <c r="C70" s="769" t="str">
        <f ca="1">CELL("adresse",Daten!M145)</f>
        <v>'[A3_MWB-Foerderrechner_LBV.xlsm]Daten'!$M$145</v>
      </c>
      <c r="D70" s="770">
        <f t="shared" ca="1" si="66"/>
        <v>46</v>
      </c>
      <c r="E70" s="770">
        <f t="shared" ca="1" si="67"/>
        <v>33</v>
      </c>
      <c r="F70" s="770">
        <f t="shared" ca="1" si="68"/>
        <v>40</v>
      </c>
      <c r="G70" s="771" t="str">
        <f t="shared" ca="1" si="69"/>
        <v>Daten</v>
      </c>
      <c r="H70" s="770" t="str">
        <f t="shared" ca="1" si="70"/>
        <v>$M$145</v>
      </c>
      <c r="I70" s="772" t="b">
        <v>0</v>
      </c>
      <c r="J70" s="772" t="b">
        <v>0</v>
      </c>
      <c r="K70" s="773">
        <f>Daten!M145</f>
        <v>0</v>
      </c>
      <c r="L70" s="776"/>
      <c r="M70" s="776"/>
      <c r="N70" s="776"/>
      <c r="O70" s="776"/>
      <c r="P70" s="776"/>
    </row>
    <row r="71" spans="2:16" ht="18" customHeight="1" x14ac:dyDescent="0.2">
      <c r="B71" s="768" t="s">
        <v>598</v>
      </c>
      <c r="C71" s="769" t="str">
        <f ca="1">CELL("adresse",Daten!M139)</f>
        <v>'[A3_MWB-Foerderrechner_LBV.xlsm]Daten'!$M$139</v>
      </c>
      <c r="D71" s="770">
        <f t="shared" ca="1" si="66"/>
        <v>46</v>
      </c>
      <c r="E71" s="770">
        <f t="shared" ca="1" si="67"/>
        <v>33</v>
      </c>
      <c r="F71" s="770">
        <f t="shared" ca="1" si="68"/>
        <v>40</v>
      </c>
      <c r="G71" s="771" t="str">
        <f t="shared" ca="1" si="69"/>
        <v>Daten</v>
      </c>
      <c r="H71" s="770" t="str">
        <f t="shared" ca="1" si="70"/>
        <v>$M$139</v>
      </c>
      <c r="I71" s="772" t="b">
        <v>0</v>
      </c>
      <c r="J71" s="772" t="b">
        <v>0</v>
      </c>
      <c r="K71" s="773">
        <f>Daten!M139</f>
        <v>0</v>
      </c>
      <c r="L71" s="776"/>
      <c r="M71" s="776"/>
      <c r="N71" s="776"/>
      <c r="O71" s="776"/>
      <c r="P71" s="776"/>
    </row>
    <row r="72" spans="2:16" ht="18" customHeight="1" x14ac:dyDescent="0.2">
      <c r="B72" s="768" t="s">
        <v>599</v>
      </c>
      <c r="C72" s="769" t="str">
        <f ca="1">CELL("adresse",Daten!M140)</f>
        <v>'[A3_MWB-Foerderrechner_LBV.xlsm]Daten'!$M$140</v>
      </c>
      <c r="D72" s="770">
        <f t="shared" ca="1" si="66"/>
        <v>46</v>
      </c>
      <c r="E72" s="770">
        <f t="shared" ca="1" si="67"/>
        <v>33</v>
      </c>
      <c r="F72" s="770">
        <f t="shared" ca="1" si="68"/>
        <v>40</v>
      </c>
      <c r="G72" s="771" t="str">
        <f t="shared" ca="1" si="69"/>
        <v>Daten</v>
      </c>
      <c r="H72" s="770" t="str">
        <f t="shared" ca="1" si="70"/>
        <v>$M$140</v>
      </c>
      <c r="I72" s="772" t="b">
        <v>0</v>
      </c>
      <c r="J72" s="772" t="b">
        <v>0</v>
      </c>
      <c r="K72" s="773">
        <f>Daten!M140</f>
        <v>0</v>
      </c>
      <c r="L72" s="776"/>
      <c r="M72" s="776"/>
      <c r="N72" s="776"/>
      <c r="O72" s="776"/>
      <c r="P72" s="776"/>
    </row>
    <row r="73" spans="2:16" ht="18" customHeight="1" x14ac:dyDescent="0.2">
      <c r="B73" s="768" t="s">
        <v>600</v>
      </c>
      <c r="C73" s="769" t="str">
        <f ca="1">CELL("adresse",Daten!M141)</f>
        <v>'[A3_MWB-Foerderrechner_LBV.xlsm]Daten'!$M$141</v>
      </c>
      <c r="D73" s="770">
        <f t="shared" ca="1" si="66"/>
        <v>46</v>
      </c>
      <c r="E73" s="770">
        <f t="shared" ca="1" si="67"/>
        <v>33</v>
      </c>
      <c r="F73" s="770">
        <f t="shared" ca="1" si="68"/>
        <v>40</v>
      </c>
      <c r="G73" s="771" t="str">
        <f t="shared" ca="1" si="69"/>
        <v>Daten</v>
      </c>
      <c r="H73" s="770" t="str">
        <f t="shared" ca="1" si="70"/>
        <v>$M$141</v>
      </c>
      <c r="I73" s="772" t="b">
        <v>0</v>
      </c>
      <c r="J73" s="772" t="b">
        <v>0</v>
      </c>
      <c r="K73" s="773">
        <f>Daten!M141</f>
        <v>0</v>
      </c>
      <c r="L73" s="776"/>
      <c r="M73" s="776"/>
      <c r="N73" s="776"/>
      <c r="O73" s="776"/>
      <c r="P73" s="776"/>
    </row>
    <row r="74" spans="2:16" ht="18" customHeight="1" x14ac:dyDescent="0.2">
      <c r="B74" s="719" t="s">
        <v>611</v>
      </c>
      <c r="C74" s="720" t="str">
        <f ca="1">CELL("adresse",Grunddaten!H40)</f>
        <v>'[A3_MWB-Foerderrechner_LBV.xlsm]Grunddaten'!$H$40</v>
      </c>
      <c r="D74" s="721">
        <f t="shared" ca="1" si="66"/>
        <v>50</v>
      </c>
      <c r="E74" s="721">
        <f t="shared" ca="1" si="67"/>
        <v>33</v>
      </c>
      <c r="F74" s="721">
        <f t="shared" ca="1" si="68"/>
        <v>45</v>
      </c>
      <c r="G74" s="720" t="str">
        <f t="shared" ca="1" si="69"/>
        <v>Grunddaten</v>
      </c>
      <c r="H74" s="721" t="str">
        <f t="shared" ca="1" si="70"/>
        <v>$H$40</v>
      </c>
      <c r="I74" s="721" t="b">
        <v>0</v>
      </c>
      <c r="J74" s="721" t="b">
        <f>IF(Grunddaten!$U$98=TRUE,TRUE,FALSE)</f>
        <v>0</v>
      </c>
      <c r="K74" s="722" t="b">
        <f>Grunddaten!H40</f>
        <v>1</v>
      </c>
      <c r="L74" s="777"/>
      <c r="M74" s="777"/>
      <c r="N74" s="777"/>
      <c r="O74" s="777"/>
      <c r="P74" s="777"/>
    </row>
    <row r="75" spans="2:16" ht="18" customHeight="1" x14ac:dyDescent="0.2">
      <c r="B75" s="719" t="s">
        <v>786</v>
      </c>
      <c r="C75" s="720" t="str">
        <f ca="1">CELL("adresse",Grunddaten!H41)</f>
        <v>'[A3_MWB-Foerderrechner_LBV.xlsm]Grunddaten'!$H$41</v>
      </c>
      <c r="D75" s="721">
        <f t="shared" ref="D75:D122" ca="1" si="71">LEN(C75)</f>
        <v>50</v>
      </c>
      <c r="E75" s="721">
        <f t="shared" ref="E75:E122" ca="1" si="72">FIND("]",C75)</f>
        <v>33</v>
      </c>
      <c r="F75" s="721">
        <f t="shared" ref="F75:F122" ca="1" si="73">FIND("!",C75)</f>
        <v>45</v>
      </c>
      <c r="G75" s="720" t="str">
        <f t="shared" ref="G75:G122" ca="1" si="74">MID(C75,E75+1,F75-E75-2)</f>
        <v>Grunddaten</v>
      </c>
      <c r="H75" s="721" t="str">
        <f t="shared" ref="H75:H122" ca="1" si="75">MID(C75,FIND("!",C75)+1,D75-F75)</f>
        <v>$H$41</v>
      </c>
      <c r="I75" s="721" t="b">
        <v>0</v>
      </c>
      <c r="J75" s="721" t="b">
        <f t="shared" ref="J75:J122" si="76">$J$74</f>
        <v>0</v>
      </c>
      <c r="K75" s="723">
        <f>Grunddaten!H41</f>
        <v>3000</v>
      </c>
      <c r="L75" s="778"/>
      <c r="M75" s="778"/>
      <c r="N75" s="778"/>
      <c r="O75" s="778"/>
      <c r="P75" s="778"/>
    </row>
    <row r="76" spans="2:16" ht="18" customHeight="1" x14ac:dyDescent="0.2">
      <c r="B76" s="719" t="s">
        <v>785</v>
      </c>
      <c r="C76" s="720" t="str">
        <f ca="1">CELL("adresse",Grunddaten!H42)</f>
        <v>'[A3_MWB-Foerderrechner_LBV.xlsm]Grunddaten'!$H$42</v>
      </c>
      <c r="D76" s="721">
        <f t="shared" ca="1" si="71"/>
        <v>50</v>
      </c>
      <c r="E76" s="721">
        <f t="shared" ca="1" si="72"/>
        <v>33</v>
      </c>
      <c r="F76" s="721">
        <f t="shared" ca="1" si="73"/>
        <v>45</v>
      </c>
      <c r="G76" s="720" t="str">
        <f t="shared" ca="1" si="74"/>
        <v>Grunddaten</v>
      </c>
      <c r="H76" s="721" t="str">
        <f t="shared" ca="1" si="75"/>
        <v>$H$42</v>
      </c>
      <c r="I76" s="721" t="b">
        <v>0</v>
      </c>
      <c r="J76" s="721" t="b">
        <f t="shared" si="76"/>
        <v>0</v>
      </c>
      <c r="K76" s="723">
        <f>Grunddaten!H42</f>
        <v>3000</v>
      </c>
      <c r="L76" s="778"/>
      <c r="M76" s="778"/>
      <c r="N76" s="778"/>
      <c r="O76" s="778"/>
      <c r="P76" s="778"/>
    </row>
    <row r="77" spans="2:16" ht="18" customHeight="1" x14ac:dyDescent="0.2">
      <c r="B77" s="719" t="s">
        <v>784</v>
      </c>
      <c r="C77" s="720" t="str">
        <f ca="1">CELL("adresse",Grunddaten!H43)</f>
        <v>'[A3_MWB-Foerderrechner_LBV.xlsm]Grunddaten'!$H$43</v>
      </c>
      <c r="D77" s="721">
        <f t="shared" ca="1" si="71"/>
        <v>50</v>
      </c>
      <c r="E77" s="721">
        <f t="shared" ca="1" si="72"/>
        <v>33</v>
      </c>
      <c r="F77" s="721">
        <f t="shared" ca="1" si="73"/>
        <v>45</v>
      </c>
      <c r="G77" s="720" t="str">
        <f t="shared" ca="1" si="74"/>
        <v>Grunddaten</v>
      </c>
      <c r="H77" s="721" t="str">
        <f t="shared" ca="1" si="75"/>
        <v>$H$43</v>
      </c>
      <c r="I77" s="721" t="b">
        <v>0</v>
      </c>
      <c r="J77" s="721" t="b">
        <f t="shared" si="76"/>
        <v>0</v>
      </c>
      <c r="K77" s="723">
        <f>Grunddaten!H43</f>
        <v>2000</v>
      </c>
      <c r="L77" s="778"/>
      <c r="M77" s="778"/>
      <c r="N77" s="778"/>
      <c r="O77" s="778"/>
      <c r="P77" s="778"/>
    </row>
    <row r="78" spans="2:16" ht="18" customHeight="1" x14ac:dyDescent="0.2">
      <c r="B78" s="719" t="s">
        <v>795</v>
      </c>
      <c r="C78" s="720" t="str">
        <f ca="1">CELL("adresse",Grunddaten!H44)</f>
        <v>'[A3_MWB-Foerderrechner_LBV.xlsm]Grunddaten'!$H$44</v>
      </c>
      <c r="D78" s="721">
        <f t="shared" ca="1" si="71"/>
        <v>50</v>
      </c>
      <c r="E78" s="721">
        <f t="shared" ca="1" si="72"/>
        <v>33</v>
      </c>
      <c r="F78" s="721">
        <f t="shared" ca="1" si="73"/>
        <v>45</v>
      </c>
      <c r="G78" s="720" t="str">
        <f t="shared" ca="1" si="74"/>
        <v>Grunddaten</v>
      </c>
      <c r="H78" s="721" t="str">
        <f t="shared" ca="1" si="75"/>
        <v>$H$44</v>
      </c>
      <c r="I78" s="721" t="b">
        <v>0</v>
      </c>
      <c r="J78" s="721" t="b">
        <f t="shared" si="76"/>
        <v>0</v>
      </c>
      <c r="K78" s="723">
        <f>Grunddaten!H44</f>
        <v>25000</v>
      </c>
      <c r="L78" s="778"/>
      <c r="M78" s="778"/>
      <c r="N78" s="778"/>
      <c r="O78" s="778"/>
      <c r="P78" s="778"/>
    </row>
    <row r="79" spans="2:16" ht="18" customHeight="1" x14ac:dyDescent="0.2">
      <c r="B79" s="1005" t="s">
        <v>777</v>
      </c>
      <c r="C79" s="720" t="str">
        <f ca="1">CELL("adresse",Grunddaten!H45)</f>
        <v>'[A3_MWB-Foerderrechner_LBV.xlsm]Grunddaten'!$H$45</v>
      </c>
      <c r="D79" s="721">
        <f t="shared" ref="D79:D80" ca="1" si="77">LEN(C79)</f>
        <v>50</v>
      </c>
      <c r="E79" s="721">
        <f t="shared" ref="E79:E80" ca="1" si="78">FIND("]",C79)</f>
        <v>33</v>
      </c>
      <c r="F79" s="721">
        <f t="shared" ref="F79:F80" ca="1" si="79">FIND("!",C79)</f>
        <v>45</v>
      </c>
      <c r="G79" s="720" t="str">
        <f t="shared" ref="G79:G80" ca="1" si="80">MID(C79,E79+1,F79-E79-2)</f>
        <v>Grunddaten</v>
      </c>
      <c r="H79" s="721" t="str">
        <f t="shared" ref="H79:H80" ca="1" si="81">MID(C79,FIND("!",C79)+1,D79-F79)</f>
        <v>$H$45</v>
      </c>
      <c r="I79" s="721" t="b">
        <v>0</v>
      </c>
      <c r="J79" s="721" t="b">
        <f t="shared" si="76"/>
        <v>0</v>
      </c>
      <c r="K79" s="723">
        <f>Grunddaten!H45</f>
        <v>500</v>
      </c>
      <c r="L79" s="1006"/>
      <c r="M79" s="1006"/>
      <c r="N79" s="1006"/>
      <c r="O79" s="1006"/>
      <c r="P79" s="1006"/>
    </row>
    <row r="80" spans="2:16" ht="18" customHeight="1" x14ac:dyDescent="0.2">
      <c r="B80" s="1005" t="s">
        <v>776</v>
      </c>
      <c r="C80" s="720" t="str">
        <f ca="1">CELL("adresse",Grunddaten!H46)</f>
        <v>'[A3_MWB-Foerderrechner_LBV.xlsm]Grunddaten'!$H$46</v>
      </c>
      <c r="D80" s="721">
        <f t="shared" ca="1" si="77"/>
        <v>50</v>
      </c>
      <c r="E80" s="721">
        <f t="shared" ca="1" si="78"/>
        <v>33</v>
      </c>
      <c r="F80" s="721">
        <f t="shared" ca="1" si="79"/>
        <v>45</v>
      </c>
      <c r="G80" s="720" t="str">
        <f t="shared" ca="1" si="80"/>
        <v>Grunddaten</v>
      </c>
      <c r="H80" s="721" t="str">
        <f t="shared" ca="1" si="81"/>
        <v>$H$46</v>
      </c>
      <c r="I80" s="721" t="b">
        <v>0</v>
      </c>
      <c r="J80" s="721" t="b">
        <f t="shared" si="76"/>
        <v>0</v>
      </c>
      <c r="K80" s="723">
        <f>Grunddaten!H46</f>
        <v>300</v>
      </c>
      <c r="L80" s="1006"/>
      <c r="M80" s="1006"/>
      <c r="N80" s="1006"/>
      <c r="O80" s="1006"/>
      <c r="P80" s="1006"/>
    </row>
    <row r="81" spans="2:16" ht="18" customHeight="1" x14ac:dyDescent="0.2">
      <c r="B81" s="719" t="s">
        <v>765</v>
      </c>
      <c r="C81" s="720" t="str">
        <f ca="1">CELL("adresse",Grunddaten!H47)</f>
        <v>'[A3_MWB-Foerderrechner_LBV.xlsm]Grunddaten'!$H$47</v>
      </c>
      <c r="D81" s="721">
        <f t="shared" ca="1" si="71"/>
        <v>50</v>
      </c>
      <c r="E81" s="721">
        <f t="shared" ca="1" si="72"/>
        <v>33</v>
      </c>
      <c r="F81" s="721">
        <f t="shared" ca="1" si="73"/>
        <v>45</v>
      </c>
      <c r="G81" s="720" t="str">
        <f t="shared" ca="1" si="74"/>
        <v>Grunddaten</v>
      </c>
      <c r="H81" s="721" t="str">
        <f t="shared" ca="1" si="75"/>
        <v>$H$47</v>
      </c>
      <c r="I81" s="721" t="b">
        <v>0</v>
      </c>
      <c r="J81" s="721" t="b">
        <f t="shared" si="76"/>
        <v>0</v>
      </c>
      <c r="K81" s="723">
        <f>Grunddaten!H47</f>
        <v>200</v>
      </c>
      <c r="L81" s="778"/>
      <c r="M81" s="778"/>
      <c r="N81" s="778"/>
      <c r="O81" s="778"/>
      <c r="P81" s="778"/>
    </row>
    <row r="82" spans="2:16" ht="18" customHeight="1" x14ac:dyDescent="0.2">
      <c r="B82" s="719" t="s">
        <v>157</v>
      </c>
      <c r="C82" s="720" t="str">
        <f ca="1">CELL("adresse",Grunddaten!H48)</f>
        <v>'[A3_MWB-Foerderrechner_LBV.xlsm]Grunddaten'!$H$48</v>
      </c>
      <c r="D82" s="721">
        <f t="shared" ca="1" si="71"/>
        <v>50</v>
      </c>
      <c r="E82" s="721">
        <f t="shared" ca="1" si="72"/>
        <v>33</v>
      </c>
      <c r="F82" s="721">
        <f t="shared" ca="1" si="73"/>
        <v>45</v>
      </c>
      <c r="G82" s="720" t="str">
        <f t="shared" ca="1" si="74"/>
        <v>Grunddaten</v>
      </c>
      <c r="H82" s="721" t="str">
        <f t="shared" ca="1" si="75"/>
        <v>$H$48</v>
      </c>
      <c r="I82" s="721" t="b">
        <v>0</v>
      </c>
      <c r="J82" s="721" t="b">
        <f t="shared" si="76"/>
        <v>0</v>
      </c>
      <c r="K82" s="723">
        <f>Grunddaten!H48</f>
        <v>120</v>
      </c>
      <c r="L82" s="778"/>
      <c r="M82" s="778"/>
      <c r="N82" s="778"/>
      <c r="O82" s="778"/>
      <c r="P82" s="778"/>
    </row>
    <row r="83" spans="2:16" ht="18" customHeight="1" x14ac:dyDescent="0.2">
      <c r="B83" s="719" t="s">
        <v>227</v>
      </c>
      <c r="C83" s="720" t="str">
        <f ca="1">CELL("adresse",Grunddaten!H50)</f>
        <v>'[A3_MWB-Foerderrechner_LBV.xlsm]Grunddaten'!$H$50</v>
      </c>
      <c r="D83" s="721">
        <f t="shared" ca="1" si="71"/>
        <v>50</v>
      </c>
      <c r="E83" s="721">
        <f t="shared" ca="1" si="72"/>
        <v>33</v>
      </c>
      <c r="F83" s="721">
        <f t="shared" ca="1" si="73"/>
        <v>45</v>
      </c>
      <c r="G83" s="720" t="str">
        <f t="shared" ca="1" si="74"/>
        <v>Grunddaten</v>
      </c>
      <c r="H83" s="721" t="str">
        <f t="shared" ca="1" si="75"/>
        <v>$H$50</v>
      </c>
      <c r="I83" s="721" t="b">
        <v>0</v>
      </c>
      <c r="J83" s="721" t="b">
        <f t="shared" si="76"/>
        <v>0</v>
      </c>
      <c r="K83" s="723">
        <f>Grunddaten!H50</f>
        <v>5000</v>
      </c>
      <c r="L83" s="778"/>
      <c r="M83" s="778"/>
      <c r="N83" s="778"/>
      <c r="O83" s="778"/>
      <c r="P83" s="778"/>
    </row>
    <row r="84" spans="2:16" ht="18" customHeight="1" x14ac:dyDescent="0.2">
      <c r="B84" s="719" t="s">
        <v>228</v>
      </c>
      <c r="C84" s="720" t="str">
        <f ca="1">CELL("adresse",Grunddaten!H51)</f>
        <v>'[A3_MWB-Foerderrechner_LBV.xlsm]Grunddaten'!$H$51</v>
      </c>
      <c r="D84" s="721">
        <f t="shared" ca="1" si="71"/>
        <v>50</v>
      </c>
      <c r="E84" s="721">
        <f t="shared" ca="1" si="72"/>
        <v>33</v>
      </c>
      <c r="F84" s="721">
        <f t="shared" ca="1" si="73"/>
        <v>45</v>
      </c>
      <c r="G84" s="720" t="str">
        <f t="shared" ca="1" si="74"/>
        <v>Grunddaten</v>
      </c>
      <c r="H84" s="721" t="str">
        <f t="shared" ca="1" si="75"/>
        <v>$H$51</v>
      </c>
      <c r="I84" s="721" t="b">
        <v>0</v>
      </c>
      <c r="J84" s="721" t="b">
        <f t="shared" si="76"/>
        <v>0</v>
      </c>
      <c r="K84" s="723">
        <f>Grunddaten!H51</f>
        <v>20000</v>
      </c>
      <c r="L84" s="778"/>
      <c r="M84" s="778"/>
      <c r="N84" s="778"/>
      <c r="O84" s="778"/>
      <c r="P84" s="778"/>
    </row>
    <row r="85" spans="2:16" ht="18" customHeight="1" x14ac:dyDescent="0.2">
      <c r="B85" s="719" t="s">
        <v>225</v>
      </c>
      <c r="C85" s="720" t="str">
        <f ca="1">CELL("adresse",Grunddaten!H52)</f>
        <v>'[A3_MWB-Foerderrechner_LBV.xlsm]Grunddaten'!$H$52</v>
      </c>
      <c r="D85" s="721">
        <f ca="1">LEN(C85)</f>
        <v>50</v>
      </c>
      <c r="E85" s="721">
        <f ca="1">FIND("]",C85)</f>
        <v>33</v>
      </c>
      <c r="F85" s="721">
        <f ca="1">FIND("!",C85)</f>
        <v>45</v>
      </c>
      <c r="G85" s="720" t="str">
        <f t="shared" ca="1" si="74"/>
        <v>Grunddaten</v>
      </c>
      <c r="H85" s="721" t="str">
        <f t="shared" ca="1" si="75"/>
        <v>$H$52</v>
      </c>
      <c r="I85" s="721" t="b">
        <v>0</v>
      </c>
      <c r="J85" s="721" t="b">
        <f t="shared" si="76"/>
        <v>0</v>
      </c>
      <c r="K85" s="723">
        <f>Grunddaten!H52</f>
        <v>10000</v>
      </c>
      <c r="L85" s="778"/>
      <c r="M85" s="778"/>
      <c r="N85" s="778"/>
      <c r="O85" s="778"/>
      <c r="P85" s="778"/>
    </row>
    <row r="86" spans="2:16" ht="18" customHeight="1" x14ac:dyDescent="0.2">
      <c r="B86" s="719" t="s">
        <v>226</v>
      </c>
      <c r="C86" s="720" t="str">
        <f ca="1">CELL("adresse",Grunddaten!H53)</f>
        <v>'[A3_MWB-Foerderrechner_LBV.xlsm]Grunddaten'!$H$53</v>
      </c>
      <c r="D86" s="721">
        <f t="shared" ca="1" si="71"/>
        <v>50</v>
      </c>
      <c r="E86" s="721">
        <f t="shared" ca="1" si="72"/>
        <v>33</v>
      </c>
      <c r="F86" s="721">
        <f t="shared" ca="1" si="73"/>
        <v>45</v>
      </c>
      <c r="G86" s="720" t="str">
        <f t="shared" ca="1" si="74"/>
        <v>Grunddaten</v>
      </c>
      <c r="H86" s="721" t="str">
        <f t="shared" ca="1" si="75"/>
        <v>$H$53</v>
      </c>
      <c r="I86" s="721" t="b">
        <v>0</v>
      </c>
      <c r="J86" s="721" t="b">
        <f t="shared" si="76"/>
        <v>0</v>
      </c>
      <c r="K86" s="723">
        <f>Grunddaten!H53</f>
        <v>15000</v>
      </c>
      <c r="L86" s="778"/>
      <c r="M86" s="778"/>
      <c r="N86" s="778"/>
      <c r="O86" s="778"/>
      <c r="P86" s="778"/>
    </row>
    <row r="87" spans="2:16" ht="18" customHeight="1" x14ac:dyDescent="0.2">
      <c r="B87" s="719" t="s">
        <v>552</v>
      </c>
      <c r="C87" s="720" t="str">
        <f ca="1">CELL("adresse",Grunddaten!H55)</f>
        <v>'[A3_MWB-Foerderrechner_LBV.xlsm]Grunddaten'!$H$55</v>
      </c>
      <c r="D87" s="721">
        <f t="shared" ca="1" si="71"/>
        <v>50</v>
      </c>
      <c r="E87" s="721">
        <f t="shared" ca="1" si="72"/>
        <v>33</v>
      </c>
      <c r="F87" s="721">
        <f t="shared" ca="1" si="73"/>
        <v>45</v>
      </c>
      <c r="G87" s="720" t="str">
        <f t="shared" ca="1" si="74"/>
        <v>Grunddaten</v>
      </c>
      <c r="H87" s="721" t="str">
        <f t="shared" ca="1" si="75"/>
        <v>$H$55</v>
      </c>
      <c r="I87" s="721" t="b">
        <v>0</v>
      </c>
      <c r="J87" s="721" t="b">
        <f t="shared" si="76"/>
        <v>0</v>
      </c>
      <c r="K87" s="723">
        <f>Grunddaten!H55</f>
        <v>300</v>
      </c>
      <c r="L87" s="778"/>
      <c r="M87" s="778"/>
      <c r="N87" s="778"/>
      <c r="O87" s="778"/>
      <c r="P87" s="778"/>
    </row>
    <row r="88" spans="2:16" ht="18" customHeight="1" x14ac:dyDescent="0.2">
      <c r="B88" s="719" t="s">
        <v>72</v>
      </c>
      <c r="C88" s="720" t="str">
        <f ca="1">CELL("adresse",Grunddaten!H57)</f>
        <v>'[A3_MWB-Foerderrechner_LBV.xlsm]Grunddaten'!$H$57</v>
      </c>
      <c r="D88" s="721">
        <f t="shared" ca="1" si="71"/>
        <v>50</v>
      </c>
      <c r="E88" s="721">
        <f t="shared" ca="1" si="72"/>
        <v>33</v>
      </c>
      <c r="F88" s="721">
        <f t="shared" ca="1" si="73"/>
        <v>45</v>
      </c>
      <c r="G88" s="720" t="str">
        <f t="shared" ca="1" si="74"/>
        <v>Grunddaten</v>
      </c>
      <c r="H88" s="721" t="str">
        <f t="shared" ca="1" si="75"/>
        <v>$H$57</v>
      </c>
      <c r="I88" s="721" t="b">
        <v>0</v>
      </c>
      <c r="J88" s="721" t="b">
        <f t="shared" si="76"/>
        <v>0</v>
      </c>
      <c r="K88" s="724">
        <f>Grunddaten!H57</f>
        <v>0.5</v>
      </c>
      <c r="L88" s="779"/>
      <c r="M88" s="779"/>
      <c r="N88" s="779"/>
      <c r="O88" s="779"/>
      <c r="P88" s="779"/>
    </row>
    <row r="89" spans="2:16" ht="18" customHeight="1" x14ac:dyDescent="0.2">
      <c r="B89" s="719" t="s">
        <v>71</v>
      </c>
      <c r="C89" s="720" t="str">
        <f ca="1">CELL("adresse",Grunddaten!H58)</f>
        <v>'[A3_MWB-Foerderrechner_LBV.xlsm]Grunddaten'!$H$58</v>
      </c>
      <c r="D89" s="721">
        <f t="shared" ca="1" si="71"/>
        <v>50</v>
      </c>
      <c r="E89" s="721">
        <f t="shared" ca="1" si="72"/>
        <v>33</v>
      </c>
      <c r="F89" s="721">
        <f t="shared" ca="1" si="73"/>
        <v>45</v>
      </c>
      <c r="G89" s="720" t="str">
        <f t="shared" ca="1" si="74"/>
        <v>Grunddaten</v>
      </c>
      <c r="H89" s="721" t="str">
        <f t="shared" ca="1" si="75"/>
        <v>$H$58</v>
      </c>
      <c r="I89" s="721" t="b">
        <v>0</v>
      </c>
      <c r="J89" s="721" t="b">
        <f t="shared" si="76"/>
        <v>0</v>
      </c>
      <c r="K89" s="724">
        <f>Grunddaten!H58</f>
        <v>2</v>
      </c>
      <c r="L89" s="779"/>
      <c r="M89" s="779"/>
      <c r="N89" s="779"/>
      <c r="O89" s="779"/>
      <c r="P89" s="779"/>
    </row>
    <row r="90" spans="2:16" ht="18" customHeight="1" x14ac:dyDescent="0.2">
      <c r="B90" s="1005" t="s">
        <v>814</v>
      </c>
      <c r="C90" s="720" t="str">
        <f ca="1">CELL("adresse",Grunddaten!H59)</f>
        <v>'[A3_MWB-Foerderrechner_LBV.xlsm]Grunddaten'!$H$59</v>
      </c>
      <c r="D90" s="721">
        <f t="shared" ref="D90" ca="1" si="82">LEN(C90)</f>
        <v>50</v>
      </c>
      <c r="E90" s="721">
        <f t="shared" ref="E90" ca="1" si="83">FIND("]",C90)</f>
        <v>33</v>
      </c>
      <c r="F90" s="721">
        <f t="shared" ref="F90" ca="1" si="84">FIND("!",C90)</f>
        <v>45</v>
      </c>
      <c r="G90" s="720" t="str">
        <f t="shared" ref="G90" ca="1" si="85">MID(C90,E90+1,F90-E90-2)</f>
        <v>Grunddaten</v>
      </c>
      <c r="H90" s="721" t="str">
        <f t="shared" ref="H90" ca="1" si="86">MID(C90,FIND("!",C90)+1,D90-F90)</f>
        <v>$H$59</v>
      </c>
      <c r="I90" s="721" t="b">
        <v>0</v>
      </c>
      <c r="J90" s="721" t="b">
        <f t="shared" si="76"/>
        <v>0</v>
      </c>
      <c r="K90" s="724">
        <f>Grunddaten!H59</f>
        <v>5</v>
      </c>
      <c r="L90" s="1007"/>
      <c r="M90" s="1007"/>
      <c r="N90" s="1007"/>
      <c r="O90" s="1007"/>
      <c r="P90" s="1007"/>
    </row>
    <row r="91" spans="2:16" ht="18" customHeight="1" x14ac:dyDescent="0.2">
      <c r="B91" s="719" t="s">
        <v>242</v>
      </c>
      <c r="C91" s="720" t="str">
        <f ca="1">CELL("adresse",Grunddaten!H61)</f>
        <v>'[A3_MWB-Foerderrechner_LBV.xlsm]Grunddaten'!$H$61</v>
      </c>
      <c r="D91" s="721">
        <f t="shared" ca="1" si="71"/>
        <v>50</v>
      </c>
      <c r="E91" s="721">
        <f t="shared" ca="1" si="72"/>
        <v>33</v>
      </c>
      <c r="F91" s="721">
        <f t="shared" ca="1" si="73"/>
        <v>45</v>
      </c>
      <c r="G91" s="720" t="str">
        <f t="shared" ca="1" si="74"/>
        <v>Grunddaten</v>
      </c>
      <c r="H91" s="721" t="str">
        <f t="shared" ca="1" si="75"/>
        <v>$H$61</v>
      </c>
      <c r="I91" s="721" t="b">
        <v>0</v>
      </c>
      <c r="J91" s="721" t="b">
        <f t="shared" si="76"/>
        <v>0</v>
      </c>
      <c r="K91" s="724">
        <f>Grunddaten!H65</f>
        <v>100</v>
      </c>
      <c r="L91" s="779"/>
      <c r="M91" s="779"/>
      <c r="N91" s="779"/>
      <c r="O91" s="779"/>
      <c r="P91" s="779"/>
    </row>
    <row r="92" spans="2:16" ht="18" customHeight="1" x14ac:dyDescent="0.2">
      <c r="B92" s="719" t="s">
        <v>243</v>
      </c>
      <c r="C92" s="720" t="str">
        <f ca="1">CELL("adresse",Grunddaten!H62)</f>
        <v>'[A3_MWB-Foerderrechner_LBV.xlsm]Grunddaten'!$H$62</v>
      </c>
      <c r="D92" s="721">
        <f t="shared" ca="1" si="71"/>
        <v>50</v>
      </c>
      <c r="E92" s="721">
        <f t="shared" ca="1" si="72"/>
        <v>33</v>
      </c>
      <c r="F92" s="721">
        <f t="shared" ca="1" si="73"/>
        <v>45</v>
      </c>
      <c r="G92" s="720" t="str">
        <f t="shared" ca="1" si="74"/>
        <v>Grunddaten</v>
      </c>
      <c r="H92" s="721" t="str">
        <f t="shared" ca="1" si="75"/>
        <v>$H$62</v>
      </c>
      <c r="I92" s="721" t="b">
        <v>0</v>
      </c>
      <c r="J92" s="721" t="b">
        <f t="shared" si="76"/>
        <v>0</v>
      </c>
      <c r="K92" s="724">
        <f>Grunddaten!H66</f>
        <v>100</v>
      </c>
      <c r="L92" s="779"/>
      <c r="M92" s="779"/>
      <c r="N92" s="779"/>
      <c r="O92" s="779"/>
      <c r="P92" s="779"/>
    </row>
    <row r="93" spans="2:16" ht="18" customHeight="1" x14ac:dyDescent="0.2">
      <c r="B93" s="719" t="s">
        <v>241</v>
      </c>
      <c r="C93" s="720" t="str">
        <f ca="1">CELL("adresse",Grunddaten!H63)</f>
        <v>'[A3_MWB-Foerderrechner_LBV.xlsm]Grunddaten'!$H$63</v>
      </c>
      <c r="D93" s="721">
        <f t="shared" ca="1" si="71"/>
        <v>50</v>
      </c>
      <c r="E93" s="721">
        <f t="shared" ca="1" si="72"/>
        <v>33</v>
      </c>
      <c r="F93" s="721">
        <f t="shared" ca="1" si="73"/>
        <v>45</v>
      </c>
      <c r="G93" s="720" t="str">
        <f t="shared" ca="1" si="74"/>
        <v>Grunddaten</v>
      </c>
      <c r="H93" s="721" t="str">
        <f t="shared" ca="1" si="75"/>
        <v>$H$63</v>
      </c>
      <c r="I93" s="721" t="b">
        <v>0</v>
      </c>
      <c r="J93" s="721" t="b">
        <f t="shared" si="76"/>
        <v>0</v>
      </c>
      <c r="K93" s="724">
        <f>Grunddaten!H67</f>
        <v>100</v>
      </c>
      <c r="L93" s="779"/>
      <c r="M93" s="779"/>
      <c r="N93" s="779"/>
      <c r="O93" s="779"/>
      <c r="P93" s="779"/>
    </row>
    <row r="94" spans="2:16" ht="18" customHeight="1" x14ac:dyDescent="0.2">
      <c r="B94" s="719" t="s">
        <v>617</v>
      </c>
      <c r="C94" s="720" t="str">
        <f ca="1">CELL("adresse",Grunddaten!H65)</f>
        <v>'[A3_MWB-Foerderrechner_LBV.xlsm]Grunddaten'!$H$65</v>
      </c>
      <c r="D94" s="721">
        <f t="shared" ca="1" si="71"/>
        <v>50</v>
      </c>
      <c r="E94" s="721">
        <f t="shared" ca="1" si="72"/>
        <v>33</v>
      </c>
      <c r="F94" s="721">
        <f t="shared" ca="1" si="73"/>
        <v>45</v>
      </c>
      <c r="G94" s="720" t="str">
        <f t="shared" ca="1" si="74"/>
        <v>Grunddaten</v>
      </c>
      <c r="H94" s="721" t="str">
        <f t="shared" ca="1" si="75"/>
        <v>$H$65</v>
      </c>
      <c r="I94" s="721" t="b">
        <v>0</v>
      </c>
      <c r="J94" s="721" t="b">
        <f t="shared" si="76"/>
        <v>0</v>
      </c>
      <c r="K94" s="724">
        <f>Grunddaten!H65</f>
        <v>100</v>
      </c>
      <c r="L94" s="779"/>
      <c r="M94" s="779"/>
      <c r="N94" s="779"/>
      <c r="O94" s="779"/>
      <c r="P94" s="779"/>
    </row>
    <row r="95" spans="2:16" ht="18" customHeight="1" x14ac:dyDescent="0.2">
      <c r="B95" s="719" t="s">
        <v>618</v>
      </c>
      <c r="C95" s="720" t="str">
        <f ca="1">CELL("adresse",Grunddaten!H66)</f>
        <v>'[A3_MWB-Foerderrechner_LBV.xlsm]Grunddaten'!$H$66</v>
      </c>
      <c r="D95" s="721">
        <f t="shared" ca="1" si="71"/>
        <v>50</v>
      </c>
      <c r="E95" s="721">
        <f t="shared" ca="1" si="72"/>
        <v>33</v>
      </c>
      <c r="F95" s="721">
        <f t="shared" ca="1" si="73"/>
        <v>45</v>
      </c>
      <c r="G95" s="720" t="str">
        <f t="shared" ca="1" si="74"/>
        <v>Grunddaten</v>
      </c>
      <c r="H95" s="721" t="str">
        <f t="shared" ca="1" si="75"/>
        <v>$H$66</v>
      </c>
      <c r="I95" s="721" t="b">
        <v>0</v>
      </c>
      <c r="J95" s="721" t="b">
        <f t="shared" si="76"/>
        <v>0</v>
      </c>
      <c r="K95" s="724">
        <f>Grunddaten!H66</f>
        <v>100</v>
      </c>
      <c r="L95" s="779"/>
      <c r="M95" s="779"/>
      <c r="N95" s="779"/>
      <c r="O95" s="779"/>
      <c r="P95" s="779"/>
    </row>
    <row r="96" spans="2:16" ht="18" customHeight="1" x14ac:dyDescent="0.2">
      <c r="B96" s="719" t="s">
        <v>619</v>
      </c>
      <c r="C96" s="720" t="str">
        <f ca="1">CELL("adresse",Grunddaten!H67)</f>
        <v>'[A3_MWB-Foerderrechner_LBV.xlsm]Grunddaten'!$H$67</v>
      </c>
      <c r="D96" s="721">
        <f t="shared" ca="1" si="71"/>
        <v>50</v>
      </c>
      <c r="E96" s="721">
        <f t="shared" ca="1" si="72"/>
        <v>33</v>
      </c>
      <c r="F96" s="721">
        <f t="shared" ca="1" si="73"/>
        <v>45</v>
      </c>
      <c r="G96" s="720" t="str">
        <f t="shared" ca="1" si="74"/>
        <v>Grunddaten</v>
      </c>
      <c r="H96" s="721" t="str">
        <f t="shared" ca="1" si="75"/>
        <v>$H$67</v>
      </c>
      <c r="I96" s="721" t="b">
        <v>0</v>
      </c>
      <c r="J96" s="721" t="b">
        <f t="shared" si="76"/>
        <v>0</v>
      </c>
      <c r="K96" s="724">
        <f>Grunddaten!H67</f>
        <v>100</v>
      </c>
      <c r="L96" s="779"/>
      <c r="M96" s="779"/>
      <c r="N96" s="779"/>
      <c r="O96" s="779"/>
      <c r="P96" s="779"/>
    </row>
    <row r="97" spans="2:16" ht="18" customHeight="1" x14ac:dyDescent="0.2">
      <c r="B97" s="719" t="s">
        <v>620</v>
      </c>
      <c r="C97" s="720" t="str">
        <f ca="1">CELL("adresse",Grunddaten!H68)</f>
        <v>'[A3_MWB-Foerderrechner_LBV.xlsm]Grunddaten'!$H$68</v>
      </c>
      <c r="D97" s="721">
        <f t="shared" ref="D97:D99" ca="1" si="87">LEN(C97)</f>
        <v>50</v>
      </c>
      <c r="E97" s="721">
        <f t="shared" ref="E97:E99" ca="1" si="88">FIND("]",C97)</f>
        <v>33</v>
      </c>
      <c r="F97" s="721">
        <f t="shared" ref="F97:F99" ca="1" si="89">FIND("!",C97)</f>
        <v>45</v>
      </c>
      <c r="G97" s="720" t="str">
        <f t="shared" ref="G97:G99" ca="1" si="90">MID(C97,E97+1,F97-E97-2)</f>
        <v>Grunddaten</v>
      </c>
      <c r="H97" s="721" t="str">
        <f t="shared" ref="H97:H99" ca="1" si="91">MID(C97,FIND("!",C97)+1,D97-F97)</f>
        <v>$H$68</v>
      </c>
      <c r="I97" s="721" t="b">
        <v>0</v>
      </c>
      <c r="J97" s="721" t="b">
        <f t="shared" si="76"/>
        <v>0</v>
      </c>
      <c r="K97" s="724">
        <f>Grunddaten!H68</f>
        <v>100</v>
      </c>
      <c r="L97" s="779"/>
      <c r="M97" s="779"/>
      <c r="N97" s="779"/>
      <c r="O97" s="779"/>
      <c r="P97" s="779"/>
    </row>
    <row r="98" spans="2:16" ht="18" customHeight="1" x14ac:dyDescent="0.2">
      <c r="B98" s="719" t="s">
        <v>621</v>
      </c>
      <c r="C98" s="720" t="str">
        <f ca="1">CELL("adresse",Grunddaten!H69)</f>
        <v>'[A3_MWB-Foerderrechner_LBV.xlsm]Grunddaten'!$H$69</v>
      </c>
      <c r="D98" s="721">
        <f t="shared" ca="1" si="87"/>
        <v>50</v>
      </c>
      <c r="E98" s="721">
        <f t="shared" ca="1" si="88"/>
        <v>33</v>
      </c>
      <c r="F98" s="721">
        <f t="shared" ca="1" si="89"/>
        <v>45</v>
      </c>
      <c r="G98" s="720" t="str">
        <f t="shared" ca="1" si="90"/>
        <v>Grunddaten</v>
      </c>
      <c r="H98" s="721" t="str">
        <f t="shared" ca="1" si="91"/>
        <v>$H$69</v>
      </c>
      <c r="I98" s="721" t="b">
        <v>0</v>
      </c>
      <c r="J98" s="721" t="b">
        <f t="shared" si="76"/>
        <v>0</v>
      </c>
      <c r="K98" s="724">
        <f>Grunddaten!H69</f>
        <v>45</v>
      </c>
      <c r="L98" s="779"/>
      <c r="M98" s="779"/>
      <c r="N98" s="779"/>
      <c r="O98" s="779"/>
      <c r="P98" s="779"/>
    </row>
    <row r="99" spans="2:16" ht="18" customHeight="1" x14ac:dyDescent="0.2">
      <c r="B99" s="719" t="s">
        <v>622</v>
      </c>
      <c r="C99" s="720" t="str">
        <f ca="1">CELL("adresse",Grunddaten!H70)</f>
        <v>'[A3_MWB-Foerderrechner_LBV.xlsm]Grunddaten'!$H$70</v>
      </c>
      <c r="D99" s="721">
        <f t="shared" ca="1" si="87"/>
        <v>50</v>
      </c>
      <c r="E99" s="721">
        <f t="shared" ca="1" si="88"/>
        <v>33</v>
      </c>
      <c r="F99" s="721">
        <f t="shared" ca="1" si="89"/>
        <v>45</v>
      </c>
      <c r="G99" s="720" t="str">
        <f t="shared" ca="1" si="90"/>
        <v>Grunddaten</v>
      </c>
      <c r="H99" s="721" t="str">
        <f t="shared" ca="1" si="91"/>
        <v>$H$70</v>
      </c>
      <c r="I99" s="721" t="b">
        <v>0</v>
      </c>
      <c r="J99" s="721" t="b">
        <f t="shared" si="76"/>
        <v>0</v>
      </c>
      <c r="K99" s="724">
        <f>Grunddaten!H70</f>
        <v>30</v>
      </c>
      <c r="L99" s="779"/>
      <c r="M99" s="779"/>
      <c r="N99" s="779"/>
      <c r="O99" s="779"/>
      <c r="P99" s="779"/>
    </row>
    <row r="100" spans="2:16" ht="18" customHeight="1" x14ac:dyDescent="0.2">
      <c r="B100" s="719" t="s">
        <v>796</v>
      </c>
      <c r="C100" s="720" t="str">
        <f ca="1">CELL("adresse",Grunddaten!H71)</f>
        <v>'[A3_MWB-Foerderrechner_LBV.xlsm]Grunddaten'!$H$71</v>
      </c>
      <c r="D100" s="721">
        <f t="shared" ref="D100" ca="1" si="92">LEN(C100)</f>
        <v>50</v>
      </c>
      <c r="E100" s="721">
        <f t="shared" ref="E100" ca="1" si="93">FIND("]",C100)</f>
        <v>33</v>
      </c>
      <c r="F100" s="721">
        <f t="shared" ref="F100" ca="1" si="94">FIND("!",C100)</f>
        <v>45</v>
      </c>
      <c r="G100" s="720" t="str">
        <f t="shared" ref="G100" ca="1" si="95">MID(C100,E100+1,F100-E100-2)</f>
        <v>Grunddaten</v>
      </c>
      <c r="H100" s="721" t="str">
        <f t="shared" ref="H100" ca="1" si="96">MID(C100,FIND("!",C100)+1,D100-F100)</f>
        <v>$H$71</v>
      </c>
      <c r="I100" s="721" t="b">
        <v>0</v>
      </c>
      <c r="J100" s="721" t="b">
        <f t="shared" si="76"/>
        <v>0</v>
      </c>
      <c r="K100" s="724">
        <f>Grunddaten!H71</f>
        <v>25</v>
      </c>
      <c r="L100" s="1007"/>
      <c r="M100" s="1007"/>
      <c r="N100" s="1007"/>
      <c r="O100" s="1007"/>
      <c r="P100" s="1007"/>
    </row>
    <row r="101" spans="2:16" ht="18" customHeight="1" x14ac:dyDescent="0.2">
      <c r="B101" s="719" t="s">
        <v>840</v>
      </c>
      <c r="C101" s="720" t="str">
        <f ca="1">CELL("adresse",Grunddaten!H72)</f>
        <v>'[A3_MWB-Foerderrechner_LBV.xlsm]Grunddaten'!$H$72</v>
      </c>
      <c r="D101" s="721">
        <f t="shared" ref="D101" ca="1" si="97">LEN(C101)</f>
        <v>50</v>
      </c>
      <c r="E101" s="721">
        <f t="shared" ref="E101" ca="1" si="98">FIND("]",C101)</f>
        <v>33</v>
      </c>
      <c r="F101" s="721">
        <f t="shared" ref="F101" ca="1" si="99">FIND("!",C101)</f>
        <v>45</v>
      </c>
      <c r="G101" s="720" t="str">
        <f t="shared" ref="G101" ca="1" si="100">MID(C101,E101+1,F101-E101-2)</f>
        <v>Grunddaten</v>
      </c>
      <c r="H101" s="721" t="str">
        <f t="shared" ref="H101" ca="1" si="101">MID(C101,FIND("!",C101)+1,D101-F101)</f>
        <v>$H$72</v>
      </c>
      <c r="I101" s="721" t="b">
        <v>0</v>
      </c>
      <c r="J101" s="721" t="b">
        <f t="shared" si="76"/>
        <v>0</v>
      </c>
      <c r="K101" s="724" t="b">
        <f>Grunddaten!H72</f>
        <v>1</v>
      </c>
      <c r="L101" s="1007"/>
      <c r="M101" s="1007"/>
      <c r="N101" s="1007"/>
      <c r="O101" s="1007"/>
      <c r="P101" s="1007"/>
    </row>
    <row r="102" spans="2:16" ht="18" customHeight="1" x14ac:dyDescent="0.2">
      <c r="B102" s="719" t="s">
        <v>607</v>
      </c>
      <c r="C102" s="720" t="str">
        <f ca="1">CELL("adresse",Grunddaten!H74)</f>
        <v>'[A3_MWB-Foerderrechner_LBV.xlsm]Grunddaten'!$H$74</v>
      </c>
      <c r="D102" s="721">
        <f t="shared" ca="1" si="71"/>
        <v>50</v>
      </c>
      <c r="E102" s="721">
        <f t="shared" ca="1" si="72"/>
        <v>33</v>
      </c>
      <c r="F102" s="721">
        <f t="shared" ca="1" si="73"/>
        <v>45</v>
      </c>
      <c r="G102" s="720" t="str">
        <f t="shared" ca="1" si="74"/>
        <v>Grunddaten</v>
      </c>
      <c r="H102" s="721" t="str">
        <f t="shared" ca="1" si="75"/>
        <v>$H$74</v>
      </c>
      <c r="I102" s="721" t="b">
        <v>0</v>
      </c>
      <c r="J102" s="721" t="b">
        <f t="shared" si="76"/>
        <v>0</v>
      </c>
      <c r="K102" s="723">
        <f>Grunddaten!H74</f>
        <v>6.5</v>
      </c>
      <c r="L102" s="778"/>
      <c r="M102" s="778"/>
      <c r="N102" s="778"/>
      <c r="O102" s="778"/>
      <c r="P102" s="778"/>
    </row>
    <row r="103" spans="2:16" ht="18" customHeight="1" x14ac:dyDescent="0.2">
      <c r="B103" s="719" t="s">
        <v>608</v>
      </c>
      <c r="C103" s="720" t="str">
        <f ca="1">CELL("adresse",Grunddaten!H75)</f>
        <v>'[A3_MWB-Foerderrechner_LBV.xlsm]Grunddaten'!$H$75</v>
      </c>
      <c r="D103" s="721">
        <f t="shared" ref="D103:D106" ca="1" si="102">LEN(C103)</f>
        <v>50</v>
      </c>
      <c r="E103" s="721">
        <f t="shared" ref="E103:E106" ca="1" si="103">FIND("]",C103)</f>
        <v>33</v>
      </c>
      <c r="F103" s="721">
        <f t="shared" ref="F103:F106" ca="1" si="104">FIND("!",C103)</f>
        <v>45</v>
      </c>
      <c r="G103" s="720" t="str">
        <f t="shared" ref="G103:G106" ca="1" si="105">MID(C103,E103+1,F103-E103-2)</f>
        <v>Grunddaten</v>
      </c>
      <c r="H103" s="721" t="str">
        <f t="shared" ref="H103:H106" ca="1" si="106">MID(C103,FIND("!",C103)+1,D103-F103)</f>
        <v>$H$75</v>
      </c>
      <c r="I103" s="721" t="b">
        <v>0</v>
      </c>
      <c r="J103" s="721" t="b">
        <f t="shared" si="76"/>
        <v>0</v>
      </c>
      <c r="K103" s="723">
        <f>Grunddaten!H75</f>
        <v>9</v>
      </c>
      <c r="L103" s="778"/>
      <c r="M103" s="778"/>
      <c r="N103" s="778"/>
      <c r="O103" s="778"/>
      <c r="P103" s="778"/>
    </row>
    <row r="104" spans="2:16" ht="18" customHeight="1" x14ac:dyDescent="0.2">
      <c r="B104" s="719" t="s">
        <v>754</v>
      </c>
      <c r="C104" s="720" t="str">
        <f ca="1">CELL("adresse",Grunddaten!H76)</f>
        <v>'[A3_MWB-Foerderrechner_LBV.xlsm]Grunddaten'!$H$76</v>
      </c>
      <c r="D104" s="721">
        <f t="shared" ref="D104" ca="1" si="107">LEN(C104)</f>
        <v>50</v>
      </c>
      <c r="E104" s="721">
        <f t="shared" ref="E104" ca="1" si="108">FIND("]",C104)</f>
        <v>33</v>
      </c>
      <c r="F104" s="721">
        <f t="shared" ref="F104" ca="1" si="109">FIND("!",C104)</f>
        <v>45</v>
      </c>
      <c r="G104" s="720" t="str">
        <f t="shared" ref="G104" ca="1" si="110">MID(C104,E104+1,F104-E104-2)</f>
        <v>Grunddaten</v>
      </c>
      <c r="H104" s="721" t="str">
        <f t="shared" ref="H104" ca="1" si="111">MID(C104,FIND("!",C104)+1,D104-F104)</f>
        <v>$H$76</v>
      </c>
      <c r="I104" s="721" t="b">
        <v>0</v>
      </c>
      <c r="J104" s="721" t="b">
        <f t="shared" si="76"/>
        <v>0</v>
      </c>
      <c r="K104" s="723">
        <f>Grunddaten!H76</f>
        <v>12</v>
      </c>
      <c r="L104" s="1006"/>
      <c r="M104" s="1006"/>
      <c r="N104" s="1006"/>
      <c r="O104" s="1006"/>
      <c r="P104" s="1006"/>
    </row>
    <row r="105" spans="2:16" ht="18" customHeight="1" x14ac:dyDescent="0.2">
      <c r="B105" s="719" t="s">
        <v>609</v>
      </c>
      <c r="C105" s="720" t="str">
        <f ca="1">CELL("adresse",Grunddaten!H77)</f>
        <v>'[A3_MWB-Foerderrechner_LBV.xlsm]Grunddaten'!$H$77</v>
      </c>
      <c r="D105" s="721">
        <f t="shared" ca="1" si="102"/>
        <v>50</v>
      </c>
      <c r="E105" s="721">
        <f t="shared" ca="1" si="103"/>
        <v>33</v>
      </c>
      <c r="F105" s="721">
        <f t="shared" ca="1" si="104"/>
        <v>45</v>
      </c>
      <c r="G105" s="720" t="str">
        <f t="shared" ca="1" si="105"/>
        <v>Grunddaten</v>
      </c>
      <c r="H105" s="721" t="str">
        <f t="shared" ca="1" si="106"/>
        <v>$H$77</v>
      </c>
      <c r="I105" s="721" t="b">
        <v>0</v>
      </c>
      <c r="J105" s="721" t="b">
        <f t="shared" si="76"/>
        <v>0</v>
      </c>
      <c r="K105" s="723">
        <f>Grunddaten!H77</f>
        <v>6</v>
      </c>
      <c r="L105" s="778"/>
      <c r="M105" s="778"/>
      <c r="N105" s="778"/>
      <c r="O105" s="778"/>
      <c r="P105" s="778"/>
    </row>
    <row r="106" spans="2:16" ht="18" customHeight="1" x14ac:dyDescent="0.2">
      <c r="B106" s="719" t="s">
        <v>610</v>
      </c>
      <c r="C106" s="720" t="str">
        <f ca="1">CELL("adresse",Grunddaten!H78)</f>
        <v>'[A3_MWB-Foerderrechner_LBV.xlsm]Grunddaten'!$H$78</v>
      </c>
      <c r="D106" s="721">
        <f t="shared" ca="1" si="102"/>
        <v>50</v>
      </c>
      <c r="E106" s="721">
        <f t="shared" ca="1" si="103"/>
        <v>33</v>
      </c>
      <c r="F106" s="721">
        <f t="shared" ca="1" si="104"/>
        <v>45</v>
      </c>
      <c r="G106" s="720" t="str">
        <f t="shared" ca="1" si="105"/>
        <v>Grunddaten</v>
      </c>
      <c r="H106" s="721" t="str">
        <f t="shared" ca="1" si="106"/>
        <v>$H$78</v>
      </c>
      <c r="I106" s="721" t="b">
        <v>0</v>
      </c>
      <c r="J106" s="721" t="b">
        <f t="shared" si="76"/>
        <v>0</v>
      </c>
      <c r="K106" s="723">
        <f>Grunddaten!H78</f>
        <v>8</v>
      </c>
      <c r="L106" s="778"/>
      <c r="M106" s="778"/>
      <c r="N106" s="778"/>
      <c r="O106" s="778"/>
      <c r="P106" s="778"/>
    </row>
    <row r="107" spans="2:16" ht="18" customHeight="1" x14ac:dyDescent="0.2">
      <c r="B107" s="719" t="s">
        <v>755</v>
      </c>
      <c r="C107" s="720" t="str">
        <f ca="1">CELL("adresse",Grunddaten!H79)</f>
        <v>'[A3_MWB-Foerderrechner_LBV.xlsm]Grunddaten'!$H$79</v>
      </c>
      <c r="D107" s="721">
        <f t="shared" ref="D107" ca="1" si="112">LEN(C107)</f>
        <v>50</v>
      </c>
      <c r="E107" s="721">
        <f t="shared" ref="E107" ca="1" si="113">FIND("]",C107)</f>
        <v>33</v>
      </c>
      <c r="F107" s="721">
        <f t="shared" ref="F107" ca="1" si="114">FIND("!",C107)</f>
        <v>45</v>
      </c>
      <c r="G107" s="720" t="str">
        <f t="shared" ref="G107" ca="1" si="115">MID(C107,E107+1,F107-E107-2)</f>
        <v>Grunddaten</v>
      </c>
      <c r="H107" s="721" t="str">
        <f t="shared" ref="H107" ca="1" si="116">MID(C107,FIND("!",C107)+1,D107-F107)</f>
        <v>$H$79</v>
      </c>
      <c r="I107" s="721" t="b">
        <v>0</v>
      </c>
      <c r="J107" s="721" t="b">
        <f t="shared" si="76"/>
        <v>0</v>
      </c>
      <c r="K107" s="723">
        <f>Grunddaten!H79</f>
        <v>10</v>
      </c>
      <c r="L107" s="1006"/>
      <c r="M107" s="1006"/>
      <c r="N107" s="1006"/>
      <c r="O107" s="1006"/>
      <c r="P107" s="1006"/>
    </row>
    <row r="108" spans="2:16" ht="18" customHeight="1" x14ac:dyDescent="0.2">
      <c r="B108" s="719" t="s">
        <v>154</v>
      </c>
      <c r="C108" s="720" t="str">
        <f ca="1">CELL("adresse",Grunddaten!H81)</f>
        <v>'[A3_MWB-Foerderrechner_LBV.xlsm]Grunddaten'!$H$81</v>
      </c>
      <c r="D108" s="721">
        <f t="shared" ca="1" si="71"/>
        <v>50</v>
      </c>
      <c r="E108" s="721">
        <f t="shared" ca="1" si="72"/>
        <v>33</v>
      </c>
      <c r="F108" s="721">
        <f t="shared" ca="1" si="73"/>
        <v>45</v>
      </c>
      <c r="G108" s="720" t="str">
        <f t="shared" ca="1" si="74"/>
        <v>Grunddaten</v>
      </c>
      <c r="H108" s="721" t="str">
        <f t="shared" ca="1" si="75"/>
        <v>$H$81</v>
      </c>
      <c r="I108" s="721" t="b">
        <v>0</v>
      </c>
      <c r="J108" s="721" t="b">
        <f t="shared" si="76"/>
        <v>0</v>
      </c>
      <c r="K108" s="724">
        <f>Grunddaten!H81</f>
        <v>2</v>
      </c>
      <c r="L108" s="779"/>
      <c r="M108" s="779"/>
      <c r="N108" s="779"/>
      <c r="O108" s="779"/>
      <c r="P108" s="779"/>
    </row>
    <row r="109" spans="2:16" ht="18" customHeight="1" x14ac:dyDescent="0.2">
      <c r="B109" s="719" t="s">
        <v>152</v>
      </c>
      <c r="C109" s="720" t="str">
        <f ca="1">CELL("adresse",Grunddaten!H82)</f>
        <v>'[A3_MWB-Foerderrechner_LBV.xlsm]Grunddaten'!$H$82</v>
      </c>
      <c r="D109" s="721">
        <f t="shared" ca="1" si="71"/>
        <v>50</v>
      </c>
      <c r="E109" s="721">
        <f t="shared" ca="1" si="72"/>
        <v>33</v>
      </c>
      <c r="F109" s="721">
        <f t="shared" ca="1" si="73"/>
        <v>45</v>
      </c>
      <c r="G109" s="720" t="str">
        <f t="shared" ca="1" si="74"/>
        <v>Grunddaten</v>
      </c>
      <c r="H109" s="721" t="str">
        <f t="shared" ca="1" si="75"/>
        <v>$H$82</v>
      </c>
      <c r="I109" s="721" t="b">
        <v>0</v>
      </c>
      <c r="J109" s="721" t="b">
        <f t="shared" si="76"/>
        <v>0</v>
      </c>
      <c r="K109" s="724">
        <f>Grunddaten!H82</f>
        <v>3</v>
      </c>
      <c r="L109" s="779"/>
      <c r="M109" s="779"/>
      <c r="N109" s="779"/>
      <c r="O109" s="779"/>
      <c r="P109" s="779"/>
    </row>
    <row r="110" spans="2:16" ht="18" customHeight="1" x14ac:dyDescent="0.2">
      <c r="B110" s="719" t="s">
        <v>623</v>
      </c>
      <c r="C110" s="720" t="str">
        <f ca="1">CELL("adresse",Grunddaten!E81)</f>
        <v>'[A3_MWB-Foerderrechner_LBV.xlsm]Grunddaten'!$E$81</v>
      </c>
      <c r="D110" s="721">
        <f t="shared" ref="D110" ca="1" si="117">LEN(C110)</f>
        <v>50</v>
      </c>
      <c r="E110" s="721">
        <f t="shared" ref="E110" ca="1" si="118">FIND("]",C110)</f>
        <v>33</v>
      </c>
      <c r="F110" s="721">
        <f t="shared" ref="F110" ca="1" si="119">FIND("!",C110)</f>
        <v>45</v>
      </c>
      <c r="G110" s="720" t="str">
        <f t="shared" ref="G110" ca="1" si="120">MID(C110,E110+1,F110-E110-2)</f>
        <v>Grunddaten</v>
      </c>
      <c r="H110" s="721" t="str">
        <f t="shared" ref="H110" ca="1" si="121">MID(C110,FIND("!",C110)+1,D110-F110)</f>
        <v>$E$81</v>
      </c>
      <c r="I110" s="721" t="b">
        <v>0</v>
      </c>
      <c r="J110" s="721" t="b">
        <f t="shared" si="76"/>
        <v>0</v>
      </c>
      <c r="K110" s="724">
        <f>Grunddaten!E81</f>
        <v>15</v>
      </c>
      <c r="L110" s="779"/>
      <c r="M110" s="779"/>
      <c r="N110" s="779"/>
      <c r="O110" s="779"/>
      <c r="P110" s="779"/>
    </row>
    <row r="111" spans="2:16" ht="18" customHeight="1" x14ac:dyDescent="0.2">
      <c r="B111" s="719" t="s">
        <v>78</v>
      </c>
      <c r="C111" s="720" t="str">
        <f ca="1">CELL("adresse",Grunddaten!H84)</f>
        <v>'[A3_MWB-Foerderrechner_LBV.xlsm]Grunddaten'!$H$84</v>
      </c>
      <c r="D111" s="721">
        <f t="shared" ca="1" si="71"/>
        <v>50</v>
      </c>
      <c r="E111" s="721">
        <f t="shared" ca="1" si="72"/>
        <v>33</v>
      </c>
      <c r="F111" s="721">
        <f t="shared" ca="1" si="73"/>
        <v>45</v>
      </c>
      <c r="G111" s="720" t="str">
        <f t="shared" ca="1" si="74"/>
        <v>Grunddaten</v>
      </c>
      <c r="H111" s="721" t="str">
        <f t="shared" ca="1" si="75"/>
        <v>$H$84</v>
      </c>
      <c r="I111" s="721" t="b">
        <v>0</v>
      </c>
      <c r="J111" s="721" t="b">
        <f t="shared" si="76"/>
        <v>0</v>
      </c>
      <c r="K111" s="724">
        <f>Grunddaten!H84</f>
        <v>25</v>
      </c>
      <c r="L111" s="779"/>
      <c r="M111" s="779"/>
      <c r="N111" s="779"/>
      <c r="O111" s="779"/>
      <c r="P111" s="779"/>
    </row>
    <row r="112" spans="2:16" ht="18" customHeight="1" x14ac:dyDescent="0.2">
      <c r="B112" s="719" t="s">
        <v>612</v>
      </c>
      <c r="C112" s="720" t="str">
        <f ca="1">CELL("adresse",Grunddaten!H86)</f>
        <v>'[A3_MWB-Foerderrechner_LBV.xlsm]Grunddaten'!$H$86</v>
      </c>
      <c r="D112" s="721">
        <f t="shared" ca="1" si="71"/>
        <v>50</v>
      </c>
      <c r="E112" s="721">
        <f t="shared" ca="1" si="72"/>
        <v>33</v>
      </c>
      <c r="F112" s="721">
        <f t="shared" ca="1" si="73"/>
        <v>45</v>
      </c>
      <c r="G112" s="720" t="str">
        <f t="shared" ca="1" si="74"/>
        <v>Grunddaten</v>
      </c>
      <c r="H112" s="721" t="str">
        <f t="shared" ca="1" si="75"/>
        <v>$H$86</v>
      </c>
      <c r="I112" s="721" t="b">
        <v>0</v>
      </c>
      <c r="J112" s="721" t="b">
        <f t="shared" si="76"/>
        <v>0</v>
      </c>
      <c r="K112" s="723">
        <f ca="1">Grunddaten!H86</f>
        <v>343.69</v>
      </c>
      <c r="L112" s="778"/>
      <c r="M112" s="778"/>
      <c r="N112" s="778"/>
      <c r="O112" s="778"/>
      <c r="P112" s="778"/>
    </row>
    <row r="113" spans="2:16" ht="18" customHeight="1" x14ac:dyDescent="0.2">
      <c r="B113" s="719" t="s">
        <v>613</v>
      </c>
      <c r="C113" s="720" t="str">
        <f ca="1">CELL("adresse",Grunddaten!H87)</f>
        <v>'[A3_MWB-Foerderrechner_LBV.xlsm]Grunddaten'!$H$87</v>
      </c>
      <c r="D113" s="721">
        <f t="shared" ca="1" si="71"/>
        <v>50</v>
      </c>
      <c r="E113" s="721">
        <f t="shared" ca="1" si="72"/>
        <v>33</v>
      </c>
      <c r="F113" s="721">
        <f t="shared" ca="1" si="73"/>
        <v>45</v>
      </c>
      <c r="G113" s="720" t="str">
        <f t="shared" ca="1" si="74"/>
        <v>Grunddaten</v>
      </c>
      <c r="H113" s="721" t="str">
        <f t="shared" ca="1" si="75"/>
        <v>$H$87</v>
      </c>
      <c r="I113" s="721" t="b">
        <v>0</v>
      </c>
      <c r="J113" s="721" t="b">
        <f t="shared" si="76"/>
        <v>0</v>
      </c>
      <c r="K113" s="723">
        <f ca="1">Grunddaten!H87</f>
        <v>44.83</v>
      </c>
      <c r="L113" s="778"/>
      <c r="M113" s="778"/>
      <c r="N113" s="778"/>
      <c r="O113" s="778"/>
      <c r="P113" s="778"/>
    </row>
    <row r="114" spans="2:16" ht="18" customHeight="1" x14ac:dyDescent="0.2">
      <c r="B114" s="719" t="s">
        <v>614</v>
      </c>
      <c r="C114" s="720" t="str">
        <f ca="1">CELL("adresse",Grunddaten!H88)</f>
        <v>'[A3_MWB-Foerderrechner_LBV.xlsm]Grunddaten'!$H$88</v>
      </c>
      <c r="D114" s="721">
        <f t="shared" ca="1" si="71"/>
        <v>50</v>
      </c>
      <c r="E114" s="721">
        <f t="shared" ca="1" si="72"/>
        <v>33</v>
      </c>
      <c r="F114" s="721">
        <f t="shared" ca="1" si="73"/>
        <v>45</v>
      </c>
      <c r="G114" s="720" t="str">
        <f t="shared" ca="1" si="74"/>
        <v>Grunddaten</v>
      </c>
      <c r="H114" s="721" t="str">
        <f t="shared" ca="1" si="75"/>
        <v>$H$88</v>
      </c>
      <c r="I114" s="721" t="b">
        <v>0</v>
      </c>
      <c r="J114" s="721" t="b">
        <f t="shared" si="76"/>
        <v>0</v>
      </c>
      <c r="K114" s="723">
        <f ca="1">Grunddaten!H88</f>
        <v>10.61</v>
      </c>
      <c r="L114" s="778"/>
      <c r="M114" s="778"/>
      <c r="N114" s="778"/>
      <c r="O114" s="778"/>
      <c r="P114" s="778"/>
    </row>
    <row r="115" spans="2:16" ht="18" customHeight="1" x14ac:dyDescent="0.2">
      <c r="B115" s="719" t="s">
        <v>615</v>
      </c>
      <c r="C115" s="720" t="str">
        <f ca="1">CELL("adresse",Grunddaten!H89)</f>
        <v>'[A3_MWB-Foerderrechner_LBV.xlsm]Grunddaten'!$H$89</v>
      </c>
      <c r="D115" s="721">
        <f t="shared" ref="D115:D117" ca="1" si="122">LEN(C115)</f>
        <v>50</v>
      </c>
      <c r="E115" s="721">
        <f t="shared" ref="E115:E117" ca="1" si="123">FIND("]",C115)</f>
        <v>33</v>
      </c>
      <c r="F115" s="721">
        <f t="shared" ref="F115:F117" ca="1" si="124">FIND("!",C115)</f>
        <v>45</v>
      </c>
      <c r="G115" s="720" t="str">
        <f t="shared" ref="G115:G117" ca="1" si="125">MID(C115,E115+1,F115-E115-2)</f>
        <v>Grunddaten</v>
      </c>
      <c r="H115" s="721" t="str">
        <f t="shared" ref="H115:H117" ca="1" si="126">MID(C115,FIND("!",C115)+1,D115-F115)</f>
        <v>$H$89</v>
      </c>
      <c r="I115" s="721" t="b">
        <v>0</v>
      </c>
      <c r="J115" s="721" t="b">
        <f t="shared" si="76"/>
        <v>0</v>
      </c>
      <c r="K115" s="723">
        <f ca="1">Grunddaten!H89</f>
        <v>1.5</v>
      </c>
      <c r="L115" s="778"/>
      <c r="M115" s="778"/>
      <c r="N115" s="778"/>
      <c r="O115" s="778"/>
      <c r="P115" s="778"/>
    </row>
    <row r="116" spans="2:16" ht="18" customHeight="1" x14ac:dyDescent="0.2">
      <c r="B116" s="719" t="s">
        <v>616</v>
      </c>
      <c r="C116" s="720" t="str">
        <f ca="1">CELL("adresse",Grunddaten!H90)</f>
        <v>'[A3_MWB-Foerderrechner_LBV.xlsm]Grunddaten'!$H$90</v>
      </c>
      <c r="D116" s="721">
        <f t="shared" ca="1" si="122"/>
        <v>50</v>
      </c>
      <c r="E116" s="721">
        <f t="shared" ca="1" si="123"/>
        <v>33</v>
      </c>
      <c r="F116" s="721">
        <f t="shared" ca="1" si="124"/>
        <v>45</v>
      </c>
      <c r="G116" s="720" t="str">
        <f t="shared" ca="1" si="125"/>
        <v>Grunddaten</v>
      </c>
      <c r="H116" s="721" t="str">
        <f t="shared" ca="1" si="126"/>
        <v>$H$90</v>
      </c>
      <c r="I116" s="721" t="b">
        <v>0</v>
      </c>
      <c r="J116" s="721" t="b">
        <f t="shared" si="76"/>
        <v>0</v>
      </c>
      <c r="K116" s="723">
        <f ca="1">Grunddaten!H90</f>
        <v>101.62</v>
      </c>
      <c r="L116" s="778"/>
      <c r="M116" s="778"/>
      <c r="N116" s="778"/>
      <c r="O116" s="778"/>
      <c r="P116" s="778"/>
    </row>
    <row r="117" spans="2:16" ht="18" customHeight="1" x14ac:dyDescent="0.2">
      <c r="B117" s="719" t="s">
        <v>424</v>
      </c>
      <c r="C117" s="720" t="str">
        <f ca="1">CELL("adresse",Grunddaten!H91)</f>
        <v>'[A3_MWB-Foerderrechner_LBV.xlsm]Grunddaten'!$H$91</v>
      </c>
      <c r="D117" s="721">
        <f t="shared" ca="1" si="122"/>
        <v>50</v>
      </c>
      <c r="E117" s="721">
        <f t="shared" ca="1" si="123"/>
        <v>33</v>
      </c>
      <c r="F117" s="721">
        <f t="shared" ca="1" si="124"/>
        <v>45</v>
      </c>
      <c r="G117" s="720" t="str">
        <f t="shared" ca="1" si="125"/>
        <v>Grunddaten</v>
      </c>
      <c r="H117" s="721" t="str">
        <f t="shared" ca="1" si="126"/>
        <v>$H$91</v>
      </c>
      <c r="I117" s="721" t="b">
        <v>0</v>
      </c>
      <c r="J117" s="721" t="b">
        <f t="shared" si="76"/>
        <v>0</v>
      </c>
      <c r="K117" s="724">
        <f ca="1">Grunddaten!H91</f>
        <v>2</v>
      </c>
      <c r="L117" s="779"/>
      <c r="M117" s="779"/>
      <c r="N117" s="779"/>
      <c r="O117" s="779"/>
      <c r="P117" s="779"/>
    </row>
    <row r="118" spans="2:16" ht="18" customHeight="1" x14ac:dyDescent="0.2">
      <c r="B118" s="866" t="s">
        <v>714</v>
      </c>
      <c r="C118" s="720" t="str">
        <f ca="1">CELL("adresse",Grunddaten!H92)</f>
        <v>'[A3_MWB-Foerderrechner_LBV.xlsm]Grunddaten'!$H$92</v>
      </c>
      <c r="D118" s="721">
        <f t="shared" ref="D118" ca="1" si="127">LEN(C118)</f>
        <v>50</v>
      </c>
      <c r="E118" s="721">
        <f t="shared" ref="E118" ca="1" si="128">FIND("]",C118)</f>
        <v>33</v>
      </c>
      <c r="F118" s="721">
        <f t="shared" ref="F118" ca="1" si="129">FIND("!",C118)</f>
        <v>45</v>
      </c>
      <c r="G118" s="720" t="str">
        <f t="shared" ref="G118" ca="1" si="130">MID(C118,E118+1,F118-E118-2)</f>
        <v>Grunddaten</v>
      </c>
      <c r="H118" s="721" t="str">
        <f t="shared" ref="H118" ca="1" si="131">MID(C118,FIND("!",C118)+1,D118-F118)</f>
        <v>$H$92</v>
      </c>
      <c r="I118" s="721" t="b">
        <v>0</v>
      </c>
      <c r="J118" s="721" t="b">
        <f t="shared" si="76"/>
        <v>0</v>
      </c>
      <c r="K118" s="723">
        <f>Grunddaten!H92</f>
        <v>0</v>
      </c>
      <c r="L118" s="867"/>
      <c r="M118" s="867"/>
      <c r="N118" s="867"/>
      <c r="O118" s="867"/>
      <c r="P118" s="867"/>
    </row>
    <row r="119" spans="2:16" ht="18" customHeight="1" x14ac:dyDescent="0.2">
      <c r="B119" s="1005" t="s">
        <v>805</v>
      </c>
      <c r="C119" s="720" t="str">
        <f ca="1">CELL("adresse",Grunddaten!H93)</f>
        <v>'[A3_MWB-Foerderrechner_LBV.xlsm]Grunddaten'!$H$93</v>
      </c>
      <c r="D119" s="721">
        <f t="shared" ref="D119" ca="1" si="132">LEN(C119)</f>
        <v>50</v>
      </c>
      <c r="E119" s="721">
        <f t="shared" ref="E119" ca="1" si="133">FIND("]",C119)</f>
        <v>33</v>
      </c>
      <c r="F119" s="721">
        <f t="shared" ref="F119" ca="1" si="134">FIND("!",C119)</f>
        <v>45</v>
      </c>
      <c r="G119" s="720" t="str">
        <f t="shared" ref="G119" ca="1" si="135">MID(C119,E119+1,F119-E119-2)</f>
        <v>Grunddaten</v>
      </c>
      <c r="H119" s="721" t="str">
        <f t="shared" ref="H119" ca="1" si="136">MID(C119,FIND("!",C119)+1,D119-F119)</f>
        <v>$H$93</v>
      </c>
      <c r="I119" s="721" t="b">
        <v>0</v>
      </c>
      <c r="J119" s="721" t="b">
        <f t="shared" si="76"/>
        <v>0</v>
      </c>
      <c r="K119" s="724">
        <f>Grunddaten!H93</f>
        <v>60</v>
      </c>
      <c r="L119" s="1007"/>
      <c r="M119" s="1007"/>
      <c r="N119" s="1007"/>
      <c r="O119" s="1007"/>
      <c r="P119" s="1007"/>
    </row>
    <row r="120" spans="2:16" ht="18" customHeight="1" x14ac:dyDescent="0.2">
      <c r="B120" s="719" t="s">
        <v>454</v>
      </c>
      <c r="C120" s="720" t="str">
        <f ca="1">CELL("adresse",Grunddaten!H95)</f>
        <v>'[A3_MWB-Foerderrechner_LBV.xlsm]Grunddaten'!$H$95</v>
      </c>
      <c r="D120" s="721">
        <f t="shared" ca="1" si="71"/>
        <v>50</v>
      </c>
      <c r="E120" s="721">
        <f t="shared" ca="1" si="72"/>
        <v>33</v>
      </c>
      <c r="F120" s="721">
        <f t="shared" ca="1" si="73"/>
        <v>45</v>
      </c>
      <c r="G120" s="720" t="str">
        <f t="shared" ca="1" si="74"/>
        <v>Grunddaten</v>
      </c>
      <c r="H120" s="721" t="str">
        <f t="shared" ca="1" si="75"/>
        <v>$H$95</v>
      </c>
      <c r="I120" s="721" t="b">
        <v>0</v>
      </c>
      <c r="J120" s="721" t="b">
        <f t="shared" si="76"/>
        <v>0</v>
      </c>
      <c r="K120" s="726">
        <f>Grunddaten!H95</f>
        <v>100</v>
      </c>
      <c r="L120" s="780"/>
      <c r="M120" s="780"/>
      <c r="N120" s="780"/>
      <c r="O120" s="780"/>
      <c r="P120" s="780"/>
    </row>
    <row r="121" spans="2:16" ht="18" customHeight="1" x14ac:dyDescent="0.2">
      <c r="B121" s="719" t="s">
        <v>504</v>
      </c>
      <c r="C121" s="720" t="str">
        <f ca="1">CELL("adresse",Grunddaten!H96)</f>
        <v>'[A3_MWB-Foerderrechner_LBV.xlsm]Grunddaten'!$H$96</v>
      </c>
      <c r="D121" s="721">
        <f t="shared" ca="1" si="71"/>
        <v>50</v>
      </c>
      <c r="E121" s="721">
        <f t="shared" ca="1" si="72"/>
        <v>33</v>
      </c>
      <c r="F121" s="721">
        <f t="shared" ca="1" si="73"/>
        <v>45</v>
      </c>
      <c r="G121" s="720" t="str">
        <f t="shared" ca="1" si="74"/>
        <v>Grunddaten</v>
      </c>
      <c r="H121" s="721" t="str">
        <f t="shared" ca="1" si="75"/>
        <v>$H$96</v>
      </c>
      <c r="I121" s="721" t="b">
        <v>0</v>
      </c>
      <c r="J121" s="721" t="b">
        <f t="shared" si="76"/>
        <v>0</v>
      </c>
      <c r="K121" s="726">
        <f>Grunddaten!H96</f>
        <v>3</v>
      </c>
      <c r="L121" s="780"/>
      <c r="M121" s="780"/>
      <c r="N121" s="780"/>
      <c r="O121" s="780"/>
      <c r="P121" s="780"/>
    </row>
    <row r="122" spans="2:16" ht="18" customHeight="1" x14ac:dyDescent="0.2">
      <c r="B122" s="719" t="s">
        <v>455</v>
      </c>
      <c r="C122" s="720" t="str">
        <f ca="1">CELL("adresse",Grunddaten!H97)</f>
        <v>'[A3_MWB-Foerderrechner_LBV.xlsm]Grunddaten'!$H$97</v>
      </c>
      <c r="D122" s="721">
        <f t="shared" ca="1" si="71"/>
        <v>50</v>
      </c>
      <c r="E122" s="721">
        <f t="shared" ca="1" si="72"/>
        <v>33</v>
      </c>
      <c r="F122" s="721">
        <f t="shared" ca="1" si="73"/>
        <v>45</v>
      </c>
      <c r="G122" s="720" t="str">
        <f t="shared" ca="1" si="74"/>
        <v>Grunddaten</v>
      </c>
      <c r="H122" s="721" t="str">
        <f t="shared" ca="1" si="75"/>
        <v>$H$97</v>
      </c>
      <c r="I122" s="721" t="b">
        <v>0</v>
      </c>
      <c r="J122" s="721" t="b">
        <f t="shared" si="76"/>
        <v>0</v>
      </c>
      <c r="K122" s="725">
        <f>Grunddaten!H97</f>
        <v>0.01</v>
      </c>
      <c r="L122" s="781"/>
      <c r="M122" s="781"/>
      <c r="N122" s="781"/>
      <c r="O122" s="781"/>
      <c r="P122" s="781"/>
    </row>
  </sheetData>
  <sheetProtection algorithmName="SHA-512" hashValue="Wn/nQKN294H14lrFV54DwSUc6qmmPBQ+DzLnnfMnYC/IyiUPoftspEMUkKAZ/qjkExcH+HLkoAf6S5KTfB44zw==" saltValue="JouiqVpGk7VLqz0aa6kRIg==" spinCount="100000" sheet="1" objects="1" scenarios="1"/>
  <autoFilter ref="B10:P10"/>
  <mergeCells count="7">
    <mergeCell ref="D3:F3"/>
    <mergeCell ref="L9:P9"/>
    <mergeCell ref="G4:G5"/>
    <mergeCell ref="H4:H5"/>
    <mergeCell ref="C9:J9"/>
    <mergeCell ref="I3:J3"/>
    <mergeCell ref="I6:J8"/>
  </mergeCells>
  <dataValidations count="1">
    <dataValidation type="list" allowBlank="1" showInputMessage="1" showErrorMessage="1" sqref="L3:P3 L6:P8 I11:J73 I74:I122 J75:J122">
      <formula1>"WAHR,FALSCH"</formula1>
    </dataValidation>
  </dataValidations>
  <pageMargins left="0.7" right="0.7" top="0.78740157499999996" bottom="0.78740157499999996" header="0.3" footer="0.3"/>
  <pageSetup paperSize="9" orientation="portrait" r:id="rId1"/>
  <customProperties>
    <customPr name="_pios_id" r:id="rId2"/>
  </customPropertie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6</vt:i4>
      </vt:variant>
    </vt:vector>
  </HeadingPairs>
  <TitlesOfParts>
    <vt:vector size="8" baseType="lpstr">
      <vt:lpstr>Startseite</vt:lpstr>
      <vt:lpstr>Berechnung</vt:lpstr>
      <vt:lpstr>Berechnung!Druckbereich</vt:lpstr>
      <vt:lpstr>Grunddaten!Druckbereich</vt:lpstr>
      <vt:lpstr>Programmversionen!Druckbereich</vt:lpstr>
      <vt:lpstr>Startseite!Druckbereich</vt:lpstr>
      <vt:lpstr>Grunddaten!Drucktitel</vt:lpstr>
      <vt:lpstr>Programmversionen!Drucktitel</vt:lpstr>
    </vt:vector>
  </TitlesOfParts>
  <Company>ILB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Produktbetreuung 80</dc:creator>
  <cp:lastModifiedBy>Kobel, Maren</cp:lastModifiedBy>
  <cp:lastPrinted>2024-01-15T14:48:25Z</cp:lastPrinted>
  <dcterms:created xsi:type="dcterms:W3CDTF">2016-01-13T14:16:24Z</dcterms:created>
  <dcterms:modified xsi:type="dcterms:W3CDTF">2025-10-17T10:11:30Z</dcterms:modified>
</cp:coreProperties>
</file>